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1"/>
  </bookViews>
  <sheets>
    <sheet name="Исходній (2)" sheetId="1" r:id="rId1"/>
    <sheet name="Исходній (3)" sheetId="2" r:id="rId2"/>
  </sheets>
  <definedNames>
    <definedName name="avans2">#REF!</definedName>
    <definedName name="data2">#REF!</definedName>
    <definedName name="LastFIO" localSheetId="0">'Исходній (2)'!#REF!</definedName>
    <definedName name="LastFIO" localSheetId="1">'Исходній (3)'!#REF!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'Исходній (2)'!$B$1:$M$55</definedName>
    <definedName name="_xlnm.Print_Area" localSheetId="1">'Исходній (3)'!$B$1:$M$42</definedName>
  </definedNames>
  <calcPr fullCalcOnLoad="1"/>
</workbook>
</file>

<file path=xl/sharedStrings.xml><?xml version="1.0" encoding="utf-8"?>
<sst xmlns="http://schemas.openxmlformats.org/spreadsheetml/2006/main" count="79" uniqueCount="44">
  <si>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</si>
  <si>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</si>
  <si>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</si>
  <si>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</si>
  <si>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</si>
  <si>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</si>
  <si>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</si>
  <si>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</si>
  <si>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</si>
  <si>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</si>
  <si>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</si>
  <si>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</si>
  <si>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</si>
  <si>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</si>
  <si>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</si>
  <si>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</si>
  <si>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</si>
  <si>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</si>
  <si>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</si>
  <si>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</si>
  <si>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</si>
  <si>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</si>
  <si>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</si>
  <si>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</si>
  <si>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</si>
  <si>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</si>
  <si>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</si>
  <si>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</si>
  <si>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</si>
  <si>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</si>
  <si>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</si>
  <si>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</si>
  <si>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</si>
  <si>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</si>
  <si>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</si>
  <si>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</si>
  <si>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</si>
  <si>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</si>
  <si>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</si>
  <si>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</si>
  <si>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</si>
  <si>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</si>
  <si>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Процентна ставка, річних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</si>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</sst>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10" fontId="3" fillId="0" borderId="11" xfId="57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0" xfId="57" applyFont="1" applyBorder="1" applyAlignment="1">
      <alignment horizontal="center"/>
    </xf>
    <xf numFmtId="0" fontId="7" fillId="0" borderId="0" xfId="0" applyFont="1" applyAlignment="1">
      <alignment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4" fontId="3" fillId="0" borderId="11" xfId="0" applyNumberFormat="1" applyFont="1" applyBorder="1" applyAlignment="1">
      <alignment horizontal="left" wrapText="1"/>
    </xf>
    <xf numFmtId="0" fontId="55" fillId="0" borderId="0" xfId="0" applyFont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1" fontId="3" fillId="0" borderId="10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vertical="top" wrapText="1"/>
    </xf>
    <xf numFmtId="184" fontId="8" fillId="33" borderId="10" xfId="0" applyNumberFormat="1" applyFont="1" applyFill="1" applyBorder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1" xfId="57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0" fontId="5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20" xfId="0" applyFont="1" applyBorder="1" applyAlignment="1" quotePrefix="1">
      <alignment horizontal="center" vertical="top" wrapText="1"/>
    </xf>
    <xf numFmtId="0" fontId="3" fillId="0" borderId="16" xfId="0" applyFont="1" applyBorder="1" applyAlignment="1" quotePrefix="1">
      <alignment horizontal="center" vertical="top" wrapText="1"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9" fontId="56" fillId="0" borderId="0" xfId="57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47</xdr:row>
      <xdr:rowOff>142875</xdr:rowOff>
    </xdr:from>
    <xdr:to>
      <xdr:col>3</xdr:col>
      <xdr:colOff>533400</xdr:colOff>
      <xdr:row>47</xdr:row>
      <xdr:rowOff>523875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68"/>
  <sheetViews>
    <sheetView showGridLines="0" zoomScaleSheetLayoutView="97" workbookViewId="0" topLeftCell="B9">
      <selection activeCell="C55" sqref="C55"/>
    </sheetView>
  </sheetViews>
  <sheetFormatPr defaultColWidth="9.125" defaultRowHeight="12.75"/>
  <cols>
    <col min="1" max="1" width="0" style="5" hidden="1" customWidth="1"/>
    <col min="2" max="2" width="8.875" style="5" customWidth="1"/>
    <col min="3" max="3" width="13.50390625" style="5" customWidth="1"/>
    <col min="4" max="4" width="11.50390625" style="5" customWidth="1"/>
    <col min="5" max="5" width="11.50390625" style="2" customWidth="1"/>
    <col min="6" max="6" width="12.00390625" style="2" customWidth="1"/>
    <col min="7" max="7" width="12.875" style="5" customWidth="1"/>
    <col min="8" max="8" width="34.375" style="5" customWidth="1"/>
    <col min="9" max="9" width="9.375" style="5" customWidth="1"/>
    <col min="10" max="10" width="8.50390625" style="5" customWidth="1"/>
    <col min="11" max="11" width="27.50390625" style="5" customWidth="1"/>
    <col min="12" max="12" width="14.125" style="5" customWidth="1"/>
    <col min="13" max="13" width="18.50390625" style="5" customWidth="1"/>
    <col min="14" max="14" width="10.125" style="5" customWidth="1"/>
    <col min="15" max="15" width="6.125" style="5" customWidth="1"/>
    <col min="16" max="16" width="2.125" style="5" customWidth="1"/>
    <col min="17" max="18" width="9.125" style="5" customWidth="1"/>
    <col min="19" max="16384" width="9.125" style="5" customWidth="1"/>
  </cols>
  <sheetData>
    <row r="1" spans="2:13" s="49" customFormat="1" ht="16.5" customHeight="1" hidden="1">
      <c r="B1" s="40">
        <v>1</v>
      </c>
      <c r="C1" s="40">
        <v>1</v>
      </c>
      <c r="D1" s="40">
        <v>2</v>
      </c>
      <c r="E1" s="41">
        <v>1</v>
      </c>
      <c r="F1" s="41">
        <v>1</v>
      </c>
      <c r="G1" s="40">
        <v>1</v>
      </c>
      <c r="H1" s="40"/>
      <c r="I1" s="28"/>
      <c r="J1" s="28"/>
      <c r="K1" s="5"/>
      <c r="L1" s="50"/>
      <c r="M1" s="52">
        <f>($I$11/$I$17-$D$30)*$I$17</f>
        <v>8966.027397260274</v>
      </c>
    </row>
    <row r="2" spans="2:12" s="49" customFormat="1" ht="4.5" customHeight="1" hidden="1">
      <c r="B2" s="40" t="str">
        <f>"Овердрафт «Зарплатний Максимальний»"</f>
        <v>Овердрафт «Зарплатний Максимальний»</v>
      </c>
      <c r="C2" s="40" t="str">
        <f>"гривня"</f>
        <v>гривня</v>
      </c>
      <c r="D2" s="40" t="str">
        <f>"Торговий POS-термінал"</f>
        <v>Торговий POS-термінал</v>
      </c>
      <c r="E2" s="41" t="s">
        <v>13</v>
      </c>
      <c r="F2" s="51" t="str">
        <f>"Овердрафт «Крок назустріч»"</f>
        <v>Овердрафт «Крок назустріч»</v>
      </c>
      <c r="G2" s="40" t="str">
        <f>"в кінці строку"</f>
        <v>в кінці строку</v>
      </c>
      <c r="H2" s="40"/>
      <c r="I2" s="5"/>
      <c r="J2" s="5"/>
      <c r="K2" s="5"/>
      <c r="L2" s="50"/>
    </row>
    <row r="3" spans="2:11" s="49" customFormat="1" ht="17.25" customHeight="1" hidden="1">
      <c r="B3" s="40" t="str">
        <f>"Овердрафт «Крок назустріч»"</f>
        <v>Овердрафт «Крок назустріч»</v>
      </c>
      <c r="C3" s="40" t="str">
        <f>IF($B$1=3,"долар США","---")</f>
        <v>---</v>
      </c>
      <c r="D3" s="40"/>
      <c r="E3" s="41" t="s">
        <v>14</v>
      </c>
      <c r="F3" s="51"/>
      <c r="G3" s="40" t="str">
        <f>"зменшення ліміту"</f>
        <v>зменшення ліміту</v>
      </c>
      <c r="H3" s="40"/>
      <c r="I3" s="28"/>
      <c r="J3" s="28"/>
      <c r="K3" s="5"/>
    </row>
    <row r="4" spans="2:7" ht="6" customHeight="1" hidden="1">
      <c r="B4" s="40" t="str">
        <f>"Овердрафт «Зарплатний» (індивідуальні умови)"</f>
        <v>Овердрафт «Зарплатний» (індивідуальні умови)</v>
      </c>
      <c r="C4" s="40" t="str">
        <f>IF($B$1=3,"євро","---")</f>
        <v>---</v>
      </c>
      <c r="D4" s="40"/>
      <c r="E4" s="36"/>
      <c r="F4" s="39"/>
      <c r="G4" s="40" t="str">
        <f>"щомісячна очікувана сума"</f>
        <v>щомісячна очікувана сума</v>
      </c>
    </row>
    <row r="5" spans="2:7" ht="6" customHeight="1" hidden="1">
      <c r="B5" s="40" t="str">
        <f>"Овердрафт «Кредитна картка»"</f>
        <v>Овердрафт «Кредитна картка»</v>
      </c>
      <c r="C5" s="40"/>
      <c r="D5" s="40"/>
      <c r="E5" s="36"/>
      <c r="G5" s="40"/>
    </row>
    <row r="6" spans="2:7" ht="6" customHeight="1" hidden="1">
      <c r="B6" s="40" t="str">
        <f>"Програма новий клієнт"</f>
        <v>Програма новий клієнт</v>
      </c>
      <c r="C6" s="40"/>
      <c r="D6" s="40"/>
      <c r="E6" s="36"/>
      <c r="F6" s="36"/>
      <c r="G6" s="35"/>
    </row>
    <row r="7" spans="2:7" ht="6" customHeight="1" hidden="1">
      <c r="B7" s="40" t="str">
        <f>"Овердрафт під депозит"</f>
        <v>Овердрафт під депозит</v>
      </c>
      <c r="C7" s="40"/>
      <c r="D7" s="40"/>
      <c r="E7" s="36"/>
      <c r="F7" s="36"/>
      <c r="G7" s="35"/>
    </row>
    <row r="8" spans="2:7" ht="6" customHeight="1" hidden="1">
      <c r="B8" s="40" t="str">
        <f>"Овердрафт «Додаткова пенсія»"</f>
        <v>Овердрафт «Додаткова пенсія»</v>
      </c>
      <c r="C8" s="40"/>
      <c r="D8" s="40"/>
      <c r="E8" s="36"/>
      <c r="F8" s="36"/>
      <c r="G8" s="35"/>
    </row>
    <row r="9" spans="2:13" ht="9.75">
      <c r="B9" s="37" t="str">
        <f>"Параметри кредитної програми"</f>
        <v>Параметри кредитної програми</v>
      </c>
      <c r="C9" s="35"/>
      <c r="D9" s="35"/>
      <c r="E9" s="36"/>
      <c r="F9" s="36"/>
      <c r="G9" s="35"/>
      <c r="H9" s="35"/>
      <c r="L9" s="31" t="str">
        <f ca="1">"Курс НБУ на "&amp;TEXT(NOW(),"ДД.ММ.ГГГГ")&amp;" р."</f>
        <v>Курс НБУ на ДД.ММ.ГГГГ р.</v>
      </c>
      <c r="M9" s="31"/>
    </row>
    <row r="10" spans="12:13" ht="4.5" customHeight="1">
      <c r="L10" s="31"/>
      <c r="M10" s="31"/>
    </row>
    <row r="11" spans="2:13" ht="9.75">
      <c r="B11" s="5" t="str">
        <f>"Програма кредитування:"</f>
        <v>Програма кредитування:</v>
      </c>
      <c r="H11" s="5" t="str">
        <f>"Ліміт овердрафту"</f>
        <v>Ліміт овердрафту</v>
      </c>
      <c r="I11" s="3">
        <v>10000</v>
      </c>
      <c r="J11" s="5" t="str">
        <f>IF($C$1=2,"доларів США",IF($C$1=3,"євро","грн"))</f>
        <v>грн</v>
      </c>
      <c r="K11" s="5" t="s">
        <v>12</v>
      </c>
      <c r="L11" s="33"/>
      <c r="M11" s="31" t="str">
        <f>"грн. за 100 доларів США"</f>
        <v>грн. за 100 доларів США</v>
      </c>
    </row>
    <row r="12" spans="11:13" ht="11.25" customHeight="1">
      <c r="K12" s="5" t="s">
        <v>15</v>
      </c>
      <c r="L12" s="34"/>
      <c r="M12" s="31"/>
    </row>
    <row r="13" spans="2:13" ht="9.75">
      <c r="B13" s="5" t="str">
        <f>"Валюта овердрафту:"</f>
        <v>Валюта овердрафту:</v>
      </c>
      <c r="H13" s="5" t="str">
        <f>"Дата кредитного договору:"</f>
        <v>Дата кредитного договору:</v>
      </c>
      <c r="I13" s="1">
        <v>42552</v>
      </c>
      <c r="K13" s="5" t="s">
        <v>16</v>
      </c>
      <c r="L13" s="33"/>
      <c r="M13" s="31" t="str">
        <f>"грн. за 100 євро"</f>
        <v>грн. за 100 євро</v>
      </c>
    </row>
    <row r="14" spans="12:13" ht="7.5" customHeight="1">
      <c r="L14" s="34"/>
      <c r="M14" s="31"/>
    </row>
    <row r="15" spans="2:13" ht="15" customHeight="1">
      <c r="B15" s="47"/>
      <c r="C15" s="47"/>
      <c r="D15" s="47"/>
      <c r="E15" s="48"/>
      <c r="F15" s="48"/>
      <c r="H15" s="5" t="str">
        <f>"Дата завершення овердрафту:"</f>
        <v>Дата завершення овердрафту:</v>
      </c>
      <c r="I15" s="1">
        <f>B41</f>
        <v>42917</v>
      </c>
      <c r="J15" s="8">
        <f>IF($I$15&lt;=$I$13,"Невідповідність дат","")</f>
      </c>
      <c r="L15" s="34" t="str">
        <f ca="1">"Комерційний курс на "&amp;TEXT(NOW(),"ДД.ММ.ГГГГ")&amp;" р."</f>
        <v>Комерційний курс на ДД.ММ.ГГГГ р.</v>
      </c>
      <c r="M15" s="31"/>
    </row>
    <row r="16" spans="8:13" ht="6.75" customHeight="1">
      <c r="H16" s="35"/>
      <c r="L16" s="34"/>
      <c r="M16" s="31"/>
    </row>
    <row r="17" spans="2:13" ht="21.75" customHeight="1">
      <c r="B17" s="142" t="s">
        <v>19</v>
      </c>
      <c r="C17" s="142"/>
      <c r="D17" s="143"/>
      <c r="E17" s="62">
        <v>0</v>
      </c>
      <c r="H17" s="35" t="s">
        <v>17</v>
      </c>
      <c r="I17" s="58">
        <v>12</v>
      </c>
      <c r="J17" s="54">
        <f>IF(DAY($I$13)=1,I17-1,I17)</f>
        <v>11</v>
      </c>
      <c r="L17" s="34"/>
      <c r="M17" s="31"/>
    </row>
    <row r="18" spans="2:13" ht="9.75">
      <c r="B18" s="5" t="str">
        <f>"Процента ставка за кредитом, річних"</f>
        <v>Процента ставка за кредитом, річних</v>
      </c>
      <c r="E18" s="61">
        <v>0.24</v>
      </c>
      <c r="H18" s="5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38">
        <v>25</v>
      </c>
      <c r="J18" s="5" t="str">
        <f>"числа кожного місяця"</f>
        <v>числа кожного місяця</v>
      </c>
      <c r="L18" s="33"/>
      <c r="M18" s="31" t="str">
        <f>"грн. за 100 доларів США"</f>
        <v>грн. за 100 доларів США</v>
      </c>
    </row>
    <row r="19" spans="8:13" ht="11.25" customHeight="1">
      <c r="H19" s="35" t="s">
        <v>18</v>
      </c>
      <c r="L19" s="34"/>
      <c r="M19" s="31"/>
    </row>
    <row r="20" spans="2:13" ht="15" customHeight="1">
      <c r="B20" s="5" t="str">
        <f>"Метод розрахунку процентів"</f>
        <v>Метод розрахунку процентів</v>
      </c>
      <c r="E20" s="30" t="str">
        <f>"факт/факт"</f>
        <v>факт/факт</v>
      </c>
      <c r="H20" s="5">
        <f>IF(OR($G$1=3),"Щомісячна очікувана сума","")</f>
      </c>
      <c r="I20" s="4"/>
      <c r="J20" s="5">
        <f>IF(OR($G$1=3),"гривень","")</f>
      </c>
      <c r="L20" s="33"/>
      <c r="M20" s="31" t="str">
        <f>"грн. за 100 євро"</f>
        <v>грн. за 100 євро</v>
      </c>
    </row>
    <row r="21" spans="2:8" ht="15" customHeight="1">
      <c r="B21" s="5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5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>
      <c r="B22" s="144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44"/>
      <c r="D22" s="144"/>
      <c r="E22" s="144"/>
      <c r="F22" s="144"/>
      <c r="G22" s="144"/>
      <c r="H22" s="145"/>
      <c r="I22" s="60">
        <v>0</v>
      </c>
      <c r="J22" s="55"/>
      <c r="K22" s="56"/>
    </row>
    <row r="23" spans="2:15" ht="12.75" customHeight="1">
      <c r="B23" s="146" t="s">
        <v>25</v>
      </c>
      <c r="C23" s="146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19"/>
      <c r="E23" s="20"/>
      <c r="F23" s="20"/>
      <c r="G23" s="21" t="s">
        <v>0</v>
      </c>
      <c r="H23" s="21"/>
      <c r="I23" s="59"/>
      <c r="J23" s="21"/>
      <c r="K23" s="21"/>
      <c r="L23" s="146" t="s">
        <v>27</v>
      </c>
      <c r="M23" s="149" t="s">
        <v>28</v>
      </c>
      <c r="O23" s="7"/>
    </row>
    <row r="24" spans="2:14" ht="12.75" customHeight="1">
      <c r="B24" s="147"/>
      <c r="C24" s="147"/>
      <c r="D24" s="146" t="s">
        <v>26</v>
      </c>
      <c r="E24" s="146" t="s">
        <v>1</v>
      </c>
      <c r="F24" s="26" t="s">
        <v>2</v>
      </c>
      <c r="G24" s="11"/>
      <c r="H24" s="11"/>
      <c r="I24" s="11"/>
      <c r="J24" s="11"/>
      <c r="K24" s="11"/>
      <c r="L24" s="147"/>
      <c r="M24" s="150"/>
      <c r="N24" s="9"/>
    </row>
    <row r="25" spans="2:14" ht="12" customHeight="1">
      <c r="B25" s="147"/>
      <c r="C25" s="147"/>
      <c r="D25" s="147"/>
      <c r="E25" s="147"/>
      <c r="F25" s="27" t="s">
        <v>3</v>
      </c>
      <c r="G25" s="21"/>
      <c r="H25" s="22"/>
      <c r="I25" s="19" t="s">
        <v>5</v>
      </c>
      <c r="J25" s="21"/>
      <c r="K25" s="22"/>
      <c r="L25" s="147"/>
      <c r="M25" s="150"/>
      <c r="N25" s="9"/>
    </row>
    <row r="26" spans="2:14" ht="47.25" customHeight="1">
      <c r="B26" s="148"/>
      <c r="C26" s="148"/>
      <c r="D26" s="148"/>
      <c r="E26" s="148"/>
      <c r="F26" s="46" t="s">
        <v>30</v>
      </c>
      <c r="G26" s="46" t="s">
        <v>29</v>
      </c>
      <c r="H26" s="18" t="s">
        <v>4</v>
      </c>
      <c r="I26" s="18" t="s">
        <v>6</v>
      </c>
      <c r="J26" s="18" t="s">
        <v>7</v>
      </c>
      <c r="K26" s="23" t="s">
        <v>8</v>
      </c>
      <c r="L26" s="148"/>
      <c r="M26" s="151"/>
      <c r="N26" s="9"/>
    </row>
    <row r="27" spans="2:13" ht="19.5" customHeight="1">
      <c r="B27" s="24">
        <v>1</v>
      </c>
      <c r="C27" s="24">
        <v>2</v>
      </c>
      <c r="D27" s="24">
        <v>3</v>
      </c>
      <c r="E27" s="24">
        <v>4</v>
      </c>
      <c r="F27" s="42"/>
      <c r="G27" s="43">
        <v>5</v>
      </c>
      <c r="H27" s="44"/>
      <c r="I27" s="42"/>
      <c r="J27" s="43">
        <v>6</v>
      </c>
      <c r="K27" s="44"/>
      <c r="L27" s="24">
        <v>7</v>
      </c>
      <c r="M27" s="24">
        <v>8</v>
      </c>
    </row>
    <row r="28" spans="2:14" ht="11.25" customHeight="1">
      <c r="B28" s="25"/>
      <c r="C28" s="25"/>
      <c r="D28" s="25"/>
      <c r="E28" s="25"/>
      <c r="F28" s="45" t="s">
        <v>9</v>
      </c>
      <c r="G28" s="45" t="s">
        <v>20</v>
      </c>
      <c r="H28" s="45" t="s">
        <v>21</v>
      </c>
      <c r="I28" s="45" t="s">
        <v>22</v>
      </c>
      <c r="J28" s="45" t="s">
        <v>23</v>
      </c>
      <c r="K28" s="45" t="s">
        <v>24</v>
      </c>
      <c r="L28" s="25"/>
      <c r="M28" s="25"/>
      <c r="N28" s="7" t="s">
        <v>11</v>
      </c>
    </row>
    <row r="29" spans="1:17" ht="21.75" customHeight="1">
      <c r="A29" s="13">
        <f>DATE(YEAR($I$15),MONTH($I$15),1)</f>
        <v>42917</v>
      </c>
      <c r="B29" s="13">
        <f>I13</f>
        <v>42552</v>
      </c>
      <c r="C29" s="12">
        <f>D29+SUM(F29:K29)</f>
        <v>-10000</v>
      </c>
      <c r="D29" s="12">
        <f>-I11</f>
        <v>-10000</v>
      </c>
      <c r="E29" s="14" t="s">
        <v>10</v>
      </c>
      <c r="F29" s="15">
        <f>$I$11*$E$17</f>
        <v>0</v>
      </c>
      <c r="G29" s="15">
        <f>I22*I11</f>
        <v>0</v>
      </c>
      <c r="H29" s="15">
        <v>0</v>
      </c>
      <c r="I29" s="15"/>
      <c r="J29" s="15">
        <v>0</v>
      </c>
      <c r="K29" s="15">
        <v>0</v>
      </c>
      <c r="L29" s="14" t="s">
        <v>10</v>
      </c>
      <c r="M29" s="14" t="s">
        <v>10</v>
      </c>
      <c r="N29" s="6">
        <f>-D29</f>
        <v>10000</v>
      </c>
      <c r="O29" s="10"/>
      <c r="Q29" s="13"/>
    </row>
    <row r="30" spans="1:17" ht="9.75">
      <c r="A30" s="13">
        <f>DATE(YEAR(I13),MONTH(I13)+1,1)</f>
        <v>42583</v>
      </c>
      <c r="B30" s="13">
        <v>42583</v>
      </c>
      <c r="C30" s="15">
        <f>IF(B30="","",IF(B30="Усього",SUM(C29:C$30),SUM(D30:K30)))</f>
        <v>800</v>
      </c>
      <c r="D30" s="15">
        <f aca="true" t="shared" si="0" ref="D30:D40">(N29*0.08)-E30-F30-H30-I30</f>
        <v>86.16438356164383</v>
      </c>
      <c r="E30" s="12">
        <f>IF(OR($B29="Усього",$B29=""),"",IF($N29=0,SUM(E29:E$30),N29*$E$18*(B30-B29)/365))</f>
        <v>203.83561643835617</v>
      </c>
      <c r="F30" s="12">
        <v>10</v>
      </c>
      <c r="G30" s="12">
        <f>IF(OR($B29="Усього",$B29=""),"",IF($N29=0,SUM(G$29:G29),0))</f>
        <v>0</v>
      </c>
      <c r="H30" s="15">
        <f>N29*0.04</f>
        <v>400</v>
      </c>
      <c r="I30" s="15">
        <f>N29*0.01</f>
        <v>100</v>
      </c>
      <c r="J30" s="12">
        <f>IF(OR($B29="Усього",$B29=""),"",IF($N29=0,SUM(J$29:J29),0))</f>
        <v>0</v>
      </c>
      <c r="K30" s="12">
        <f>IF(OR($B29="Усього",$B29=""),"",IF($N29=0,SUM(K$29:K29),0))</f>
        <v>0</v>
      </c>
      <c r="L30" s="16" t="str">
        <f>IF($I$11&lt;=0,0,IF($N29=0,0,"Х"))</f>
        <v>Х</v>
      </c>
      <c r="M30" s="17" t="str">
        <f>IF(OR($B29="Усього",$B29=""),"",IF($N29=0,SUM(E30:K30),"Х"))</f>
        <v>Х</v>
      </c>
      <c r="N30" s="6">
        <f aca="true" t="shared" si="1" ref="N30:N54">IF(OR($B29="Усього",$B29=""),"",IF($N29=0,"",IF(DATE(YEAR(B29),MONTH(B29)+1,DAY($I$17))&gt;$I$15,0,N29-D30)))</f>
        <v>9913.835616438357</v>
      </c>
      <c r="O30" s="57">
        <v>1</v>
      </c>
      <c r="Q30" s="13"/>
    </row>
    <row r="31" spans="1:17" ht="9.75">
      <c r="A31" s="13">
        <f aca="true" t="shared" si="2" ref="A31:A53">DATE(YEAR(A30),MONTH(A30)+1,1)</f>
        <v>42614</v>
      </c>
      <c r="B31" s="13">
        <v>42614</v>
      </c>
      <c r="C31" s="12">
        <f>IF(B31="","",IF(B31="Усього",SUM(C$30:C30),SUM(D31:K31)))</f>
        <v>793.1068493150685</v>
      </c>
      <c r="D31" s="12">
        <f t="shared" si="0"/>
        <v>85.33578907862639</v>
      </c>
      <c r="E31" s="12">
        <f>IF(OR($B30="Усього",$B30=""),"",IF($N30=0,SUM(E$30:E30),N30*$E$18*(B31-B30)/365))</f>
        <v>202.0792794145243</v>
      </c>
      <c r="F31" s="12">
        <v>10</v>
      </c>
      <c r="G31" s="12">
        <f>IF(OR($B30="Усього",$B30=""),"",IF($N30=0,SUM(G$29:G30),0))</f>
        <v>0</v>
      </c>
      <c r="H31" s="15">
        <f aca="true" t="shared" si="3" ref="H31:H41">N30*0.04</f>
        <v>396.55342465753426</v>
      </c>
      <c r="I31" s="15">
        <f>N30*0.01</f>
        <v>99.13835616438357</v>
      </c>
      <c r="J31" s="12">
        <f>IF(OR($B30="Усього",$B30=""),"",IF($N30=0,SUM(J$29:J30),0))</f>
        <v>0</v>
      </c>
      <c r="K31" s="12">
        <f>IF(OR($B30="Усього",$B30=""),"",IF($N30=0,SUM(K$29:K30),0))</f>
        <v>0</v>
      </c>
      <c r="L31" s="16" t="str">
        <f>IF(OR($B30="Усього",$B30=""),"",IF($N30=0,_XLL.ЧИСТВНДОХ(C$29:C30,B$29:B30,0.2),"Х"))</f>
        <v>Х</v>
      </c>
      <c r="M31" s="17" t="str">
        <f aca="true" t="shared" si="4" ref="M31:M54">IF(OR($B30="Усього",$B30=""),"",IF($N30=0,SUM(E31:K31),"Х"))</f>
        <v>Х</v>
      </c>
      <c r="N31" s="6">
        <f t="shared" si="1"/>
        <v>9828.49982735973</v>
      </c>
      <c r="O31" s="57">
        <v>2</v>
      </c>
      <c r="Q31" s="13"/>
    </row>
    <row r="32" spans="1:17" ht="9.75">
      <c r="A32" s="13">
        <f t="shared" si="2"/>
        <v>42644</v>
      </c>
      <c r="B32" s="13">
        <v>42644</v>
      </c>
      <c r="C32" s="12">
        <f>IF(B32="","",IF(B32="Усього",SUM(C$30:C31),SUM(D32:K32)))</f>
        <v>786.2799861887785</v>
      </c>
      <c r="D32" s="12">
        <f t="shared" si="0"/>
        <v>90.97773795232602</v>
      </c>
      <c r="E32" s="12">
        <f>IF(OR($B31="Усього",$B31=""),"",IF($N31=0,SUM(E$30:E31),N31*$E$18*(B32-B31)/365))</f>
        <v>193.8772568684659</v>
      </c>
      <c r="F32" s="12">
        <v>10</v>
      </c>
      <c r="G32" s="12">
        <f>IF(OR($B31="Усього",$B31=""),"",IF($N31=0,SUM(G$29:G31),0))</f>
        <v>0</v>
      </c>
      <c r="H32" s="15">
        <f t="shared" si="3"/>
        <v>393.13999309438924</v>
      </c>
      <c r="I32" s="15">
        <f aca="true" t="shared" si="5" ref="I32:I41">N31*0.01</f>
        <v>98.28499827359731</v>
      </c>
      <c r="J32" s="12">
        <f>IF(OR($B31="Усього",$B31=""),"",IF($N31=0,SUM(J$29:J31),0))</f>
        <v>0</v>
      </c>
      <c r="K32" s="12">
        <f>IF(OR($B31="Усього",$B31=""),"",IF($N31=0,SUM(K$29:K31),0))</f>
        <v>0</v>
      </c>
      <c r="L32" s="16" t="str">
        <f>IF(OR($B31="Усього",$B31=""),"",IF($N31=0,_XLL.ЧИСТВНДОХ(C$29:C31,B$29:B31,0.2),"Х"))</f>
        <v>Х</v>
      </c>
      <c r="M32" s="17" t="str">
        <f t="shared" si="4"/>
        <v>Х</v>
      </c>
      <c r="N32" s="6">
        <f t="shared" si="1"/>
        <v>9737.522089407405</v>
      </c>
      <c r="O32" s="57">
        <v>3</v>
      </c>
      <c r="Q32" s="13"/>
    </row>
    <row r="33" spans="1:17" ht="9.75">
      <c r="A33" s="13">
        <f t="shared" si="2"/>
        <v>42675</v>
      </c>
      <c r="B33" s="13">
        <v>42675</v>
      </c>
      <c r="C33" s="12">
        <f>IF(B33="","",IF(B33="Усього",SUM(C$30:C32),SUM(D33:K33)))</f>
        <v>779.0017671525924</v>
      </c>
      <c r="D33" s="12">
        <f t="shared" si="0"/>
        <v>83.64028091457534</v>
      </c>
      <c r="E33" s="12">
        <f>IF(OR($B32="Усього",$B32=""),"",IF($N32=0,SUM(E$30:E32),N32*$E$18*(B33-B32)/365))</f>
        <v>198.48538176764683</v>
      </c>
      <c r="F33" s="12">
        <v>10</v>
      </c>
      <c r="G33" s="12">
        <f>IF(OR($B32="Усього",$B32=""),"",IF($N32=0,SUM(G$29:G32),0))</f>
        <v>0</v>
      </c>
      <c r="H33" s="15">
        <f t="shared" si="3"/>
        <v>389.5008835762962</v>
      </c>
      <c r="I33" s="15">
        <f t="shared" si="5"/>
        <v>97.37522089407405</v>
      </c>
      <c r="J33" s="12">
        <f>IF(OR($B32="Усього",$B32=""),"",IF($N32=0,SUM(J$29:J32),0))</f>
        <v>0</v>
      </c>
      <c r="K33" s="12">
        <f>IF(OR($B32="Усього",$B32=""),"",IF($N32=0,SUM(K$29:K32),0))</f>
        <v>0</v>
      </c>
      <c r="L33" s="16" t="str">
        <f>IF(OR($B32="Усього",$B32=""),"",IF($N32=0,_XLL.ЧИСТВНДОХ(C$29:C32,B$29:B32,0.2),"Х"))</f>
        <v>Х</v>
      </c>
      <c r="M33" s="17" t="str">
        <f t="shared" si="4"/>
        <v>Х</v>
      </c>
      <c r="N33" s="6">
        <f t="shared" si="1"/>
        <v>9653.88180849283</v>
      </c>
      <c r="O33" s="57">
        <v>4</v>
      </c>
      <c r="Q33" s="13"/>
    </row>
    <row r="34" spans="1:17" ht="9.75">
      <c r="A34" s="13">
        <f t="shared" si="2"/>
        <v>42705</v>
      </c>
      <c r="B34" s="13">
        <v>42705</v>
      </c>
      <c r="C34" s="12">
        <f>IF(B34="","",IF(B34="Усього",SUM(C$30:C33),SUM(D34:K34)))</f>
        <v>772.3105446794262</v>
      </c>
      <c r="D34" s="12">
        <f t="shared" si="0"/>
        <v>89.18371721054277</v>
      </c>
      <c r="E34" s="12">
        <f>IF(OR($B33="Усього",$B33=""),"",IF($N33=0,SUM(E$30:E33),N33*$E$18*(B34-B33)/365))</f>
        <v>190.4327370442421</v>
      </c>
      <c r="F34" s="12">
        <v>10</v>
      </c>
      <c r="G34" s="12">
        <f>IF(OR($B33="Усього",$B33=""),"",IF($N33=0,SUM(G$29:G33),0))</f>
        <v>0</v>
      </c>
      <c r="H34" s="15">
        <f t="shared" si="3"/>
        <v>386.1552723397132</v>
      </c>
      <c r="I34" s="15">
        <f t="shared" si="5"/>
        <v>96.5388180849283</v>
      </c>
      <c r="J34" s="12">
        <f>IF(OR($B33="Усього",$B33=""),"",IF($N33=0,SUM(J$29:J33),0))</f>
        <v>0</v>
      </c>
      <c r="K34" s="12">
        <f>IF(OR($B33="Усього",$B33=""),"",IF($N33=0,SUM(K$29:K33),0))</f>
        <v>0</v>
      </c>
      <c r="L34" s="16" t="str">
        <f>IF(OR($B33="Усього",$B33=""),"",IF($N33=0,_XLL.ЧИСТВНДОХ(C$29:C33,B$29:B33,0.2),"Х"))</f>
        <v>Х</v>
      </c>
      <c r="M34" s="17" t="str">
        <f t="shared" si="4"/>
        <v>Х</v>
      </c>
      <c r="N34" s="6">
        <f t="shared" si="1"/>
        <v>9564.698091282287</v>
      </c>
      <c r="O34" s="57">
        <v>5</v>
      </c>
      <c r="Q34" s="13"/>
    </row>
    <row r="35" spans="1:17" ht="9.75">
      <c r="A35" s="13">
        <f t="shared" si="2"/>
        <v>42736</v>
      </c>
      <c r="B35" s="13">
        <v>42736</v>
      </c>
      <c r="C35" s="12">
        <f>IF(B35="","",IF(B35="Усього",SUM(C$30:C34),SUM(D35:K35)))</f>
        <v>765.1758473025828</v>
      </c>
      <c r="D35" s="12">
        <f t="shared" si="0"/>
        <v>81.9783295901392</v>
      </c>
      <c r="E35" s="12">
        <f>IF(OR($B34="Усього",$B34=""),"",IF($N34=0,SUM(E$30:E34),N34*$E$18*(B35-B34)/365))</f>
        <v>194.96261314832935</v>
      </c>
      <c r="F35" s="12">
        <v>10</v>
      </c>
      <c r="G35" s="12">
        <f>IF(OR($B34="Усього",$B34=""),"",IF($N34=0,SUM(G$29:G34),0))</f>
        <v>0</v>
      </c>
      <c r="H35" s="15">
        <f t="shared" si="3"/>
        <v>382.5879236512915</v>
      </c>
      <c r="I35" s="15">
        <f t="shared" si="5"/>
        <v>95.64698091282287</v>
      </c>
      <c r="J35" s="12">
        <f>IF(OR($B34="Усього",$B34=""),"",IF($N34=0,SUM(J$29:J34),0))</f>
        <v>0</v>
      </c>
      <c r="K35" s="12">
        <f>IF(OR($B34="Усього",$B34=""),"",IF($N34=0,SUM(K$29:K34),0))</f>
        <v>0</v>
      </c>
      <c r="L35" s="16" t="str">
        <f>IF(OR($B34="Усього",$B34=""),"",IF($N34=0,_XLL.ЧИСТВНДОХ(C$29:C34,B$29:B34,0.2),"Х"))</f>
        <v>Х</v>
      </c>
      <c r="M35" s="17" t="str">
        <f t="shared" si="4"/>
        <v>Х</v>
      </c>
      <c r="N35" s="6">
        <f t="shared" si="1"/>
        <v>9482.719761692148</v>
      </c>
      <c r="O35" s="57">
        <v>6</v>
      </c>
      <c r="P35" s="10"/>
      <c r="Q35" s="13"/>
    </row>
    <row r="36" spans="1:17" ht="9.75">
      <c r="A36" s="13">
        <f t="shared" si="2"/>
        <v>42767</v>
      </c>
      <c r="B36" s="13">
        <v>42767</v>
      </c>
      <c r="C36" s="12">
        <f>IF(B36="","",IF(B36="Усього",SUM(C$30:C35),SUM(D36:K36)))</f>
        <v>758.6175809353718</v>
      </c>
      <c r="D36" s="12">
        <f t="shared" si="0"/>
        <v>81.18999003709443</v>
      </c>
      <c r="E36" s="12">
        <f>IF(OR($B35="Усього",$B35=""),"",IF($N35=0,SUM(E$30:E35),N35*$E$18*(B36-B35)/365))</f>
        <v>193.29160281367004</v>
      </c>
      <c r="F36" s="12">
        <v>10</v>
      </c>
      <c r="G36" s="12">
        <f>IF(OR($B35="Усього",$B35=""),"",IF($N35=0,SUM(G$29:G35),0))</f>
        <v>0</v>
      </c>
      <c r="H36" s="15">
        <f t="shared" si="3"/>
        <v>379.3087904676859</v>
      </c>
      <c r="I36" s="15">
        <f t="shared" si="5"/>
        <v>94.82719761692148</v>
      </c>
      <c r="J36" s="12">
        <f>IF(OR($B35="Усього",$B35=""),"",IF($N35=0,SUM(J$29:J35),0))</f>
        <v>0</v>
      </c>
      <c r="K36" s="12">
        <f>IF(OR($B35="Усього",$B35=""),"",IF($N35=0,SUM(K$29:K35),0))</f>
        <v>0</v>
      </c>
      <c r="L36" s="16" t="str">
        <f>IF(OR($B35="Усього",$B35=""),"",IF($N35=0,_XLL.ЧИСТВНДОХ(C$29:C35,B$29:B35,0.2),"Х"))</f>
        <v>Х</v>
      </c>
      <c r="M36" s="17" t="str">
        <f t="shared" si="4"/>
        <v>Х</v>
      </c>
      <c r="N36" s="6">
        <f t="shared" si="1"/>
        <v>9401.529771655054</v>
      </c>
      <c r="O36" s="57">
        <v>7</v>
      </c>
      <c r="Q36" s="13"/>
    </row>
    <row r="37" spans="1:17" ht="9.75">
      <c r="A37" s="13">
        <f t="shared" si="2"/>
        <v>42795</v>
      </c>
      <c r="B37" s="13">
        <v>42795</v>
      </c>
      <c r="C37" s="12">
        <f>IF(B37="","",IF(B37="Усього",SUM(C$30:C36),SUM(D37:K37)))</f>
        <v>752.1223817324044</v>
      </c>
      <c r="D37" s="12">
        <f t="shared" si="0"/>
        <v>98.95471488794767</v>
      </c>
      <c r="E37" s="12">
        <f>IF(OR($B36="Усього",$B36=""),"",IF($N36=0,SUM(E$30:E36),N36*$E$18*(B37-B36)/365))</f>
        <v>173.091178261704</v>
      </c>
      <c r="F37" s="12">
        <v>10</v>
      </c>
      <c r="G37" s="12">
        <f>IF(OR($B36="Усього",$B36=""),"",IF($N36=0,SUM(G$29:G36),0))</f>
        <v>0</v>
      </c>
      <c r="H37" s="15">
        <f t="shared" si="3"/>
        <v>376.06119086620214</v>
      </c>
      <c r="I37" s="15">
        <f t="shared" si="5"/>
        <v>94.01529771655053</v>
      </c>
      <c r="J37" s="12">
        <f>IF(OR($B36="Усього",$B36=""),"",IF($N36=0,SUM(J$29:J36),0))</f>
        <v>0</v>
      </c>
      <c r="K37" s="12">
        <f>IF(OR($B36="Усього",$B36=""),"",IF($N36=0,SUM(K$29:K36),0))</f>
        <v>0</v>
      </c>
      <c r="L37" s="16" t="str">
        <f>IF(OR($B36="Усього",$B36=""),"",IF($N36=0,_XLL.ЧИСТВНДОХ(C$29:C36,B$29:B36,0.2),"Х"))</f>
        <v>Х</v>
      </c>
      <c r="M37" s="17" t="str">
        <f t="shared" si="4"/>
        <v>Х</v>
      </c>
      <c r="N37" s="6">
        <f t="shared" si="1"/>
        <v>9302.575056767106</v>
      </c>
      <c r="O37" s="57">
        <v>8</v>
      </c>
      <c r="Q37" s="13"/>
    </row>
    <row r="38" spans="1:17" ht="9.75">
      <c r="A38" s="13">
        <f t="shared" si="2"/>
        <v>42826</v>
      </c>
      <c r="B38" s="13">
        <v>42826</v>
      </c>
      <c r="C38" s="12">
        <f>IF(B38="","",IF(B38="Усього",SUM(C$30:C37),SUM(D38:K38)))</f>
        <v>744.2060045413684</v>
      </c>
      <c r="D38" s="12">
        <f t="shared" si="0"/>
        <v>79.45763958699328</v>
      </c>
      <c r="E38" s="12">
        <f>IF(OR($B37="Усього",$B37=""),"",IF($N37=0,SUM(E$30:E37),N37*$E$18*(B38-B37)/365))</f>
        <v>189.61961211601988</v>
      </c>
      <c r="F38" s="12">
        <v>10</v>
      </c>
      <c r="G38" s="12">
        <f>IF(OR($B37="Усього",$B37=""),"",IF($N37=0,SUM(G$29:G37),0))</f>
        <v>0</v>
      </c>
      <c r="H38" s="15">
        <f t="shared" si="3"/>
        <v>372.1030022706842</v>
      </c>
      <c r="I38" s="15">
        <f t="shared" si="5"/>
        <v>93.02575056767105</v>
      </c>
      <c r="J38" s="12">
        <f>IF(OR($B37="Усього",$B37=""),"",IF($N37=0,SUM(J$29:J37),0))</f>
        <v>0</v>
      </c>
      <c r="K38" s="12">
        <f>IF(OR($B37="Усього",$B37=""),"",IF($N37=0,SUM(K$29:K37),0))</f>
        <v>0</v>
      </c>
      <c r="L38" s="16" t="str">
        <f>IF(OR($B37="Усього",$B37=""),"",IF($N37=0,_XLL.ЧИСТВНДОХ(C$29:C37,B$29:B37,0.2),"Х"))</f>
        <v>Х</v>
      </c>
      <c r="M38" s="17" t="str">
        <f t="shared" si="4"/>
        <v>Х</v>
      </c>
      <c r="N38" s="6">
        <f t="shared" si="1"/>
        <v>9223.117417180112</v>
      </c>
      <c r="O38" s="57">
        <v>9</v>
      </c>
      <c r="Q38" s="13"/>
    </row>
    <row r="39" spans="1:17" ht="9.75">
      <c r="A39" s="13">
        <f t="shared" si="2"/>
        <v>42856</v>
      </c>
      <c r="B39" s="13">
        <v>42856</v>
      </c>
      <c r="C39" s="12">
        <f>IF(B39="","",IF(B39="Усього",SUM(C$30:C38),SUM(D39:K39)))</f>
        <v>737.849393374409</v>
      </c>
      <c r="D39" s="12">
        <f t="shared" si="0"/>
        <v>84.75805565596009</v>
      </c>
      <c r="E39" s="12">
        <f>IF(OR($B38="Усього",$B38=""),"",IF($N38=0,SUM(E$30:E38),N38*$E$18*(B39-B38)/365))</f>
        <v>181.93546685944332</v>
      </c>
      <c r="F39" s="12">
        <v>10</v>
      </c>
      <c r="G39" s="12">
        <f>IF(OR($B38="Усього",$B38=""),"",IF($N38=0,SUM(G$29:G38),0))</f>
        <v>0</v>
      </c>
      <c r="H39" s="15">
        <f t="shared" si="3"/>
        <v>368.9246966872045</v>
      </c>
      <c r="I39" s="15">
        <f t="shared" si="5"/>
        <v>92.23117417180113</v>
      </c>
      <c r="J39" s="12">
        <f>IF(OR($B38="Усього",$B38=""),"",IF($N38=0,SUM(J$29:J38),0))</f>
        <v>0</v>
      </c>
      <c r="K39" s="12">
        <f>IF(OR($B38="Усього",$B38=""),"",IF($N38=0,SUM(K$29:K38),0))</f>
        <v>0</v>
      </c>
      <c r="L39" s="16" t="str">
        <f>IF(OR($B38="Усього",$B38=""),"",IF($N38=0,_XLL.ЧИСТВНДОХ(C$29:C38,B$29:B38,0.2),"Х"))</f>
        <v>Х</v>
      </c>
      <c r="M39" s="17" t="str">
        <f t="shared" si="4"/>
        <v>Х</v>
      </c>
      <c r="N39" s="6">
        <f t="shared" si="1"/>
        <v>9138.359361524152</v>
      </c>
      <c r="O39" s="57">
        <v>10</v>
      </c>
      <c r="Q39" s="13"/>
    </row>
    <row r="40" spans="1:17" ht="9.75">
      <c r="A40" s="13">
        <f t="shared" si="2"/>
        <v>42887</v>
      </c>
      <c r="B40" s="13">
        <v>42887</v>
      </c>
      <c r="C40" s="12">
        <f>IF(B40="","",IF(B40="Усього",SUM(C$30:C39),SUM(D40:K40)))</f>
        <v>731.0687489219322</v>
      </c>
      <c r="D40" s="12">
        <f t="shared" si="0"/>
        <v>77.87846947657482</v>
      </c>
      <c r="E40" s="12">
        <f>IF(OR($B39="Усього",$B39=""),"",IF($N39=0,SUM(E$30:E39),N39*$E$18*(B40-B39)/365))</f>
        <v>186.2723113691498</v>
      </c>
      <c r="F40" s="12">
        <v>10</v>
      </c>
      <c r="G40" s="12">
        <f>IF(OR($B39="Усього",$B39=""),"",IF($N39=0,SUM(G$29:G39),0))</f>
        <v>0</v>
      </c>
      <c r="H40" s="15">
        <f t="shared" si="3"/>
        <v>365.5343744609661</v>
      </c>
      <c r="I40" s="15">
        <f t="shared" si="5"/>
        <v>91.38359361524152</v>
      </c>
      <c r="J40" s="12">
        <f>IF(OR($B39="Усього",$B39=""),"",IF($N39=0,SUM(J$29:J39),0))</f>
        <v>0</v>
      </c>
      <c r="K40" s="12">
        <f>IF(OR($B39="Усього",$B39=""),"",IF($N39=0,SUM(K$29:K39),0))</f>
        <v>0</v>
      </c>
      <c r="L40" s="16" t="str">
        <f>IF(OR($B39="Усього",$B39=""),"",IF($N39=0,_XLL.ЧИСТВНДОХ(C$29:C39,B$29:B39,0.2),"Х"))</f>
        <v>Х</v>
      </c>
      <c r="M40" s="17" t="str">
        <f t="shared" si="4"/>
        <v>Х</v>
      </c>
      <c r="N40" s="6">
        <f t="shared" si="1"/>
        <v>9060.480892047577</v>
      </c>
      <c r="O40" s="57">
        <v>11</v>
      </c>
      <c r="Q40" s="13"/>
    </row>
    <row r="41" spans="1:17" ht="9.75">
      <c r="A41" s="13">
        <f t="shared" si="2"/>
        <v>42917</v>
      </c>
      <c r="B41" s="13">
        <v>42917</v>
      </c>
      <c r="C41" s="12">
        <f>IF(B41="","",IF(B41="Усього",SUM(C$30:C40),SUM(D41:K41)))</f>
        <v>9702.23223095884</v>
      </c>
      <c r="D41" s="12">
        <f>N40</f>
        <v>9060.480892047577</v>
      </c>
      <c r="E41" s="12">
        <f>IF(OR($B40="Усього",$B40=""),"",IF($N40=0,SUM(E$30:E40),N40*$E$18*(B41-B40)/365))</f>
        <v>178.7272943088837</v>
      </c>
      <c r="F41" s="12">
        <v>10</v>
      </c>
      <c r="G41" s="12">
        <f>IF(OR($B40="Усього",$B40=""),"",IF($N40=0,SUM(G$29:G40),0))</f>
        <v>0</v>
      </c>
      <c r="H41" s="15">
        <f t="shared" si="3"/>
        <v>362.4192356819031</v>
      </c>
      <c r="I41" s="15">
        <f t="shared" si="5"/>
        <v>90.60480892047578</v>
      </c>
      <c r="J41" s="12">
        <f>IF(OR($B40="Усього",$B40=""),"",IF($N40=0,SUM(J$29:J40),0))</f>
        <v>0</v>
      </c>
      <c r="K41" s="12">
        <f>IF(OR($B40="Усього",$B40=""),"",IF($N40=0,SUM(K$29:K40),0))</f>
        <v>0</v>
      </c>
      <c r="L41" s="16" t="str">
        <f>IF(OR($B40="Усього",$B40=""),"",IF($N40=0,_XLL.ЧИСТВНДОХ(C$29:C40,B$29:B40,0.2),"Х"))</f>
        <v>Х</v>
      </c>
      <c r="M41" s="17" t="str">
        <f t="shared" si="4"/>
        <v>Х</v>
      </c>
      <c r="N41" s="6">
        <f t="shared" si="1"/>
        <v>0</v>
      </c>
      <c r="O41" s="57">
        <v>12</v>
      </c>
      <c r="Q41" s="13"/>
    </row>
    <row r="42" spans="1:15" ht="9.75">
      <c r="A42" s="13">
        <f t="shared" si="2"/>
        <v>42948</v>
      </c>
      <c r="B42" s="13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2">
        <f>IF(B42="","",IF(B42="Усього",SUM(C$30:C41),SUM(D42:K42)))</f>
      </c>
      <c r="D42" s="12">
        <f>IF(B42="","",IF($N41=0,SUM($D$30:$D41),IF($I$15=B41:B55,$D$30+#REF!,ROUND(-$D$29/$J$17,0))))</f>
      </c>
      <c r="E42" s="12">
        <f>IF(OR($B41="Усього",$B41=""),"",IF($N41=0,SUM(E$30:E41),N41*$E$18*(B42-B41)/365))</f>
        <v>2286.610350410436</v>
      </c>
      <c r="F42" s="12">
        <f>IF(B42="","",IF($N41=0,SUM(F$29:F41),0))</f>
      </c>
      <c r="G42" s="12">
        <f>IF(OR($B41="Усього",$B41=""),"",IF($N41=0,SUM(G$29:G41),0))</f>
        <v>0</v>
      </c>
      <c r="H42" s="15">
        <f>SUM(H29:H41)</f>
        <v>4572.288787753871</v>
      </c>
      <c r="I42" s="12">
        <f>IF(OR($B41="Усього",$B41=""),"",IF($N41=0,SUM(I$29:I41),0))</f>
        <v>1143.0721969384676</v>
      </c>
      <c r="J42" s="12">
        <f>IF(OR($B41="Усього",$B41=""),"",IF($N41=0,SUM(J$29:J41),0))</f>
        <v>0</v>
      </c>
      <c r="K42" s="12">
        <f>IF(OR($B41="Усього",$B41=""),"",IF($N41=0,SUM(K$29:K41),0))</f>
        <v>0</v>
      </c>
      <c r="L42" s="16">
        <f>IF(OR($B41="Усього",$B41=""),"",IF($N41=0,_XLL.ЧИСТВНДОХ($C$29:$C$41,$B$29:$B$41,0.2),"Х"))</f>
        <v>1.2760152459144594</v>
      </c>
      <c r="M42" s="17">
        <f t="shared" si="4"/>
        <v>8001.971335102774</v>
      </c>
      <c r="N42" s="6">
        <f t="shared" si="1"/>
      </c>
      <c r="O42" s="57">
        <v>13</v>
      </c>
    </row>
    <row r="43" spans="1:15" ht="9.75" hidden="1">
      <c r="A43" s="13">
        <f t="shared" si="2"/>
        <v>42979</v>
      </c>
      <c r="B43" s="13">
        <f t="shared" si="6"/>
      </c>
      <c r="C43" s="12">
        <f>IF(B43="","",IF(B43="Усього",SUM(C$30:C42),SUM(D43:K43)))</f>
      </c>
      <c r="D43" s="12">
        <f>IF(B43="","",IF($N42=0,SUM($D$30:$D42),IF($I$15=B42:B55,$D$30+#REF!,ROUND(-$D$29/$J$17,0))))</f>
      </c>
      <c r="E43" s="12">
        <f>IF(OR($B42="Усього",$B42=""),"",IF($N42=0,SUM(E$30:E42),N42*$E$18*(B43-B42)/365))</f>
      </c>
      <c r="F43" s="12">
        <f>IF(B43="","",IF($N42=0,SUM(F$29:F42),0))</f>
      </c>
      <c r="G43" s="12">
        <f>IF(OR($B42="Усього",$B42=""),"",IF($N42=0,SUM(G$29:G42),0))</f>
      </c>
      <c r="H43" s="15">
        <f>IF(B43="Усього",SUM(H$29:H42),IF(B43="","",10))</f>
      </c>
      <c r="I43" s="12">
        <f>IF(OR($B42="Усього",$B42=""),"",IF($N42=0,SUM(I$29:I42),0))</f>
      </c>
      <c r="J43" s="12">
        <f>IF(OR($B42="Усього",$B42=""),"",IF($N42=0,SUM(J$29:J42),0))</f>
      </c>
      <c r="K43" s="12">
        <f>IF(OR($B42="Усього",$B42=""),"",IF($N42=0,SUM(K$29:K42),0))</f>
      </c>
      <c r="L43" s="16">
        <f>IF(OR($B42="Усього",$B42=""),"",IF($N42=0,_XLL.ЧИСТВНДОХ(C$29:C42,B$29:B42,0.2),"Х"))</f>
      </c>
      <c r="M43" s="17">
        <f t="shared" si="4"/>
      </c>
      <c r="N43" s="6">
        <f t="shared" si="1"/>
      </c>
      <c r="O43" s="57">
        <v>14</v>
      </c>
    </row>
    <row r="44" spans="1:15" ht="9.75" hidden="1">
      <c r="A44" s="13">
        <f t="shared" si="2"/>
        <v>43009</v>
      </c>
      <c r="B44" s="13">
        <f t="shared" si="6"/>
      </c>
      <c r="C44" s="12">
        <f>IF(B44="","",IF(B44="Усього",SUM(C$30:C43),SUM(D44:K44)))</f>
      </c>
      <c r="D44" s="12">
        <f>IF(B44="","",IF($N43=0,SUM($D$30:$D43),IF($I$15=B43:B55,$D$30+#REF!,ROUND(-$D$29/$J$17,0))))</f>
      </c>
      <c r="E44" s="12">
        <f>IF(OR($B43="Усього",$B43=""),"",IF($N43=0,SUM(E$30:E43),N43*$E$18*(B44-B43)/365))</f>
      </c>
      <c r="F44" s="12">
        <f>IF(B44="","",IF($N43=0,SUM(F$29:F43),0))</f>
      </c>
      <c r="G44" s="12">
        <f>IF(OR($B43="Усього",$B43=""),"",IF($N43=0,SUM(G$29:G43),0))</f>
      </c>
      <c r="H44" s="15">
        <f>IF(B44="Усього",SUM(H$29:H43),IF(B44="","",10))</f>
      </c>
      <c r="I44" s="12">
        <f>IF(OR($B43="Усього",$B43=""),"",IF($N43=0,SUM(I$29:I43),0))</f>
      </c>
      <c r="J44" s="12">
        <f>IF(OR($B43="Усього",$B43=""),"",IF($N43=0,SUM(J$29:J43),0))</f>
      </c>
      <c r="K44" s="12">
        <f>IF(OR($B43="Усього",$B43=""),"",IF($N43=0,SUM(K$29:K43),0))</f>
      </c>
      <c r="L44" s="16">
        <f>IF(OR($B43="Усього",$B43=""),"",IF($N43=0,_XLL.ЧИСТВНДОХ(C$29:C43,B$29:B43,0.2),"Х"))</f>
      </c>
      <c r="M44" s="17">
        <f t="shared" si="4"/>
      </c>
      <c r="N44" s="6">
        <f t="shared" si="1"/>
      </c>
      <c r="O44" s="57">
        <v>15</v>
      </c>
    </row>
    <row r="45" spans="1:15" ht="9.75" hidden="1">
      <c r="A45" s="13">
        <f t="shared" si="2"/>
        <v>43040</v>
      </c>
      <c r="B45" s="13">
        <f t="shared" si="6"/>
      </c>
      <c r="C45" s="12">
        <f>IF(B45="","",IF(B45="Усього",SUM(C$30:C44),SUM(D45:K45)))</f>
      </c>
      <c r="D45" s="12">
        <f>IF(B45="","",IF($N44=0,SUM($D$30:$D44),IF($I$15=B44:B55,$D$30+#REF!,ROUND(-$D$29/$J$17,0))))</f>
      </c>
      <c r="E45" s="12">
        <f>IF(OR($B44="Усього",$B44=""),"",IF($N44=0,SUM(E$30:E44),N44*$E$18*(B45-B44)/365))</f>
      </c>
      <c r="F45" s="12">
        <f>IF(B45="","",IF($N44=0,SUM(F$29:F44),0))</f>
      </c>
      <c r="G45" s="12">
        <f>IF(OR($B44="Усього",$B44=""),"",IF($N44=0,SUM(G$29:G44),0))</f>
      </c>
      <c r="H45" s="15">
        <f>IF(B45="Усього",SUM(H$29:H44),IF(B45="","",10))</f>
      </c>
      <c r="I45" s="12">
        <f>IF(OR($B44="Усього",$B44=""),"",IF($N44=0,SUM(I$29:I44),0))</f>
      </c>
      <c r="J45" s="12">
        <f>IF(OR($B44="Усього",$B44=""),"",IF($N44=0,SUM(J$29:J44),0))</f>
      </c>
      <c r="K45" s="12">
        <f>IF(OR($B44="Усього",$B44=""),"",IF($N44=0,SUM(K$29:K44),0))</f>
      </c>
      <c r="L45" s="16">
        <f>IF(OR($B44="Усього",$B44=""),"",IF($N44=0,_XLL.ЧИСТВНДОХ(C$29:C44,B$29:B44,0.2),"Х"))</f>
      </c>
      <c r="M45" s="17">
        <f t="shared" si="4"/>
      </c>
      <c r="N45" s="6">
        <f t="shared" si="1"/>
      </c>
      <c r="O45" s="57">
        <v>16</v>
      </c>
    </row>
    <row r="46" spans="1:15" ht="9.75" hidden="1">
      <c r="A46" s="13">
        <f t="shared" si="2"/>
        <v>43070</v>
      </c>
      <c r="B46" s="13">
        <f t="shared" si="6"/>
      </c>
      <c r="C46" s="12">
        <f>IF(B46="","",IF(B46="Усього",SUM(C$30:C45),SUM(D46:K46)))</f>
      </c>
      <c r="D46" s="12">
        <f>IF(B46="","",IF($N45=0,SUM($D$30:$D45),IF($I$15=B45:B55,$D$30+#REF!,ROUND(-$D$29/$J$17,0))))</f>
      </c>
      <c r="E46" s="12">
        <f>IF(OR($B45="Усього",$B45=""),"",IF($N45=0,SUM(E$30:E45),N45*$E$18*(B46-B45)/365))</f>
      </c>
      <c r="F46" s="12">
        <f>IF(B46="","",IF($N45=0,SUM(F$29:F45),0))</f>
      </c>
      <c r="G46" s="12">
        <f>IF(OR($B45="Усього",$B45=""),"",IF($N45=0,SUM(G$29:G45),0))</f>
      </c>
      <c r="H46" s="15">
        <f>IF(B46="Усього",SUM(H$29:H45),IF(B46="","",10))</f>
      </c>
      <c r="I46" s="12">
        <f>IF(OR($B45="Усього",$B45=""),"",IF($N45=0,SUM(I$29:I45),0))</f>
      </c>
      <c r="J46" s="12">
        <f>IF(OR($B45="Усього",$B45=""),"",IF($N45=0,SUM(J$29:J45),0))</f>
      </c>
      <c r="K46" s="12">
        <f>IF(OR($B45="Усього",$B45=""),"",IF($N45=0,SUM(K$29:K45),0))</f>
      </c>
      <c r="L46" s="16">
        <f>IF(OR($B45="Усього",$B45=""),"",IF($N45=0,_XLL.ЧИСТВНДОХ(C$29:C45,B$29:B45,0.2),"Х"))</f>
      </c>
      <c r="M46" s="17">
        <f t="shared" si="4"/>
      </c>
      <c r="N46" s="6">
        <f t="shared" si="1"/>
      </c>
      <c r="O46" s="57">
        <v>17</v>
      </c>
    </row>
    <row r="47" spans="1:15" ht="9.75" hidden="1">
      <c r="A47" s="13">
        <f t="shared" si="2"/>
        <v>43101</v>
      </c>
      <c r="B47" s="13">
        <f t="shared" si="6"/>
      </c>
      <c r="C47" s="12">
        <f>IF(B47="","",IF(B47="Усього",SUM(C$30:C46),SUM(D47:K47)))</f>
      </c>
      <c r="D47" s="12">
        <f>IF(B47="","",IF($N46=0,SUM($D$30:$D46),IF($I$15=B46:B55,$D$30+#REF!,ROUND(-$D$29/$J$17,0))))</f>
      </c>
      <c r="E47" s="12">
        <f>IF(OR($B46="Усього",$B46=""),"",IF($N46=0,SUM(E$30:E46),N46*$E$18*(B47-B46)/365))</f>
      </c>
      <c r="F47" s="12">
        <f>IF(B47="","",IF($N46=0,SUM(F$29:F46),0))</f>
      </c>
      <c r="G47" s="12">
        <f>IF(OR($B46="Усього",$B46=""),"",IF($N46=0,SUM(G$29:G46),0))</f>
      </c>
      <c r="H47" s="15">
        <f>IF(B47="Усього",SUM(H$29:H46),IF(B47="","",10))</f>
      </c>
      <c r="I47" s="12">
        <f>IF(OR($B46="Усього",$B46=""),"",IF($N46=0,SUM(I$29:I46),0))</f>
      </c>
      <c r="J47" s="12">
        <f>IF(OR($B46="Усього",$B46=""),"",IF($N46=0,SUM(J$29:J46),0))</f>
      </c>
      <c r="K47" s="12">
        <f>IF(OR($B46="Усього",$B46=""),"",IF($N46=0,SUM(K$29:K46),0))</f>
      </c>
      <c r="L47" s="16">
        <f>IF(OR($B46="Усього",$B46=""),"",IF($N46=0,_XLL.ЧИСТВНДОХ(C$29:C46,B$29:B46,0.2),"Х"))</f>
      </c>
      <c r="M47" s="17">
        <f t="shared" si="4"/>
      </c>
      <c r="N47" s="6">
        <f t="shared" si="1"/>
      </c>
      <c r="O47" s="57">
        <v>18</v>
      </c>
    </row>
    <row r="48" spans="1:15" ht="12" customHeight="1" hidden="1">
      <c r="A48" s="13">
        <f t="shared" si="2"/>
        <v>43132</v>
      </c>
      <c r="B48" s="13">
        <f t="shared" si="6"/>
      </c>
      <c r="C48" s="12">
        <f>IF(B48="","",IF(B48="Усього",SUM(C$30:C47),SUM(D48:K48)))</f>
      </c>
      <c r="D48" s="12">
        <f>IF(B48="","",IF($N47=0,SUM($D$30:$D47),IF($I$15=B47:B55,$D$30+#REF!,ROUND(-$D$29/$J$17,0))))</f>
      </c>
      <c r="E48" s="12">
        <f>IF(OR($B47="Усього",$B47=""),"",IF($N47=0,SUM(E$30:E47),N47*$E$18*(B48-B47)/365))</f>
      </c>
      <c r="F48" s="12">
        <f>IF(B48="","",IF($N47=0,SUM(F$29:F47),0))</f>
      </c>
      <c r="G48" s="12">
        <f>IF(OR($B47="Усього",$B47=""),"",IF($N47=0,SUM(G$29:G47),0))</f>
      </c>
      <c r="H48" s="15">
        <f>IF(B48="Усього",SUM(H$29:H47),IF(B48="","",10))</f>
      </c>
      <c r="I48" s="12">
        <f>IF(OR($B47="Усього",$B47=""),"",IF($N47=0,SUM(I$29:I47),0))</f>
      </c>
      <c r="J48" s="12">
        <f>IF(OR($B47="Усього",$B47=""),"",IF($N47=0,SUM(J$29:J47),0))</f>
      </c>
      <c r="K48" s="12">
        <f>IF(OR($B47="Усього",$B47=""),"",IF($N47=0,SUM(K$29:K47),0))</f>
      </c>
      <c r="L48" s="16">
        <f>IF(OR($B47="Усього",$B47=""),"",IF($N47=0,_XLL.ЧИСТВНДОХ(C$29:C47,B$29:B47,0.2),"Х"))</f>
      </c>
      <c r="M48" s="17">
        <f t="shared" si="4"/>
      </c>
      <c r="N48" s="6">
        <f t="shared" si="1"/>
      </c>
      <c r="O48" s="57">
        <v>19</v>
      </c>
    </row>
    <row r="49" spans="1:15" ht="16.5" customHeight="1" hidden="1">
      <c r="A49" s="13">
        <f t="shared" si="2"/>
        <v>43160</v>
      </c>
      <c r="B49" s="13">
        <f t="shared" si="6"/>
      </c>
      <c r="C49" s="12">
        <f>IF(B49="","",IF(B49="Усього",SUM(C$30:C48),SUM(D49:K49)))</f>
      </c>
      <c r="D49" s="12">
        <f>IF(B49="","",IF($N48=0,SUM($D$30:$D48),IF($I$15=B48:B55,$D$30+#REF!,ROUND(-$D$29/$J$17,0))))</f>
      </c>
      <c r="E49" s="12">
        <f>IF(OR($B48="Усього",$B48=""),"",IF($N48=0,SUM(E$30:E48),N48*$E$18*(B49-B48)/365))</f>
      </c>
      <c r="F49" s="12">
        <f>IF(B49="","",IF($N48=0,SUM(F$29:F48),0))</f>
      </c>
      <c r="G49" s="12">
        <f>IF(OR($B48="Усього",$B48=""),"",IF($N48=0,SUM(G$29:G48),0))</f>
      </c>
      <c r="H49" s="15">
        <f>IF(B49="Усього",SUM(H$29:H48),IF(B49="","",10))</f>
      </c>
      <c r="I49" s="12">
        <f>IF(OR($B48="Усього",$B48=""),"",IF($N48=0,SUM(I$29:I48),0))</f>
      </c>
      <c r="J49" s="12">
        <f>IF(OR($B48="Усього",$B48=""),"",IF($N48=0,SUM(J$29:J48),0))</f>
      </c>
      <c r="K49" s="12">
        <f>IF(OR($B48="Усього",$B48=""),"",IF($N48=0,SUM(K$29:K48),0))</f>
      </c>
      <c r="L49" s="16">
        <f>IF(OR($B48="Усього",$B48=""),"",IF($N48=0,_XLL.ЧИСТВНДОХ(C$29:C48,B$29:B48,0.2),"Х"))</f>
      </c>
      <c r="M49" s="17">
        <f t="shared" si="4"/>
      </c>
      <c r="N49" s="6">
        <f t="shared" si="1"/>
      </c>
      <c r="O49" s="57">
        <v>20</v>
      </c>
    </row>
    <row r="50" spans="1:15" ht="15.75" customHeight="1" hidden="1">
      <c r="A50" s="13">
        <f t="shared" si="2"/>
        <v>43191</v>
      </c>
      <c r="B50" s="13">
        <f t="shared" si="6"/>
      </c>
      <c r="C50" s="12">
        <f>IF(B50="","",IF(B50="Усього",SUM(C$30:C49),SUM(D50:K50)))</f>
      </c>
      <c r="D50" s="12">
        <f>IF(B50="","",IF($N49=0,SUM($D$30:$D49),IF($I$15=B49:B55,$D$30+#REF!,ROUND(-$D$29/$J$17,0))))</f>
      </c>
      <c r="E50" s="12">
        <f>IF(OR($B49="Усього",$B49=""),"",IF($N49=0,SUM(E$30:E49),N49*$E$18*(B50-B49)/365))</f>
      </c>
      <c r="F50" s="12">
        <f>IF(B50="","",IF($N49=0,SUM(F$29:F49),0))</f>
      </c>
      <c r="G50" s="12">
        <f>IF(OR($B49="Усього",$B49=""),"",IF($N49=0,SUM(G$29:G49),0))</f>
      </c>
      <c r="H50" s="15">
        <f>IF(B50="Усього",SUM(H$29:H49),IF(B50="","",10))</f>
      </c>
      <c r="I50" s="12">
        <f>IF(OR($B49="Усього",$B49=""),"",IF($N49=0,SUM(I$29:I49),0))</f>
      </c>
      <c r="J50" s="12">
        <f>IF(OR($B49="Усього",$B49=""),"",IF($N49=0,SUM(J$29:J49),0))</f>
      </c>
      <c r="K50" s="12">
        <f>IF(OR($B49="Усього",$B49=""),"",IF($N49=0,SUM(K$29:K49),0))</f>
      </c>
      <c r="L50" s="16">
        <f>IF(OR($B49="Усього",$B49=""),"",IF($N49=0,_XLL.ЧИСТВНДОХ(C$29:C49,B$29:B49,0.2),"Х"))</f>
      </c>
      <c r="M50" s="17">
        <f t="shared" si="4"/>
      </c>
      <c r="N50" s="6">
        <f t="shared" si="1"/>
      </c>
      <c r="O50" s="57">
        <v>21</v>
      </c>
    </row>
    <row r="51" spans="1:15" ht="15.75" customHeight="1" hidden="1">
      <c r="A51" s="13">
        <f t="shared" si="2"/>
        <v>43221</v>
      </c>
      <c r="B51" s="13">
        <f t="shared" si="6"/>
      </c>
      <c r="C51" s="12">
        <f>IF(B51="","",IF(B51="Усього",SUM(C$30:C50),SUM(D51:K51)))</f>
      </c>
      <c r="D51" s="12">
        <f>IF(B51="","",IF($N50=0,SUM($D$30:$D50),IF($I$15=B50:B55,$D$30+#REF!,ROUND(-$D$29/$J$17,0))))</f>
      </c>
      <c r="E51" s="12">
        <f>IF(OR($B50="Усього",$B50=""),"",IF($N50=0,SUM(E$30:E50),N50*$E$18*(B51-B50)/365))</f>
      </c>
      <c r="F51" s="12">
        <f>IF(B51="","",IF($N50=0,SUM(F$29:F50),0))</f>
      </c>
      <c r="G51" s="12">
        <f>IF(OR($B50="Усього",$B50=""),"",IF($N50=0,SUM(G$29:G50),0))</f>
      </c>
      <c r="H51" s="15">
        <f>IF(B51="Усього",SUM(H$29:H50),IF(B51="","",10))</f>
      </c>
      <c r="I51" s="12">
        <f>IF(OR($B50="Усього",$B50=""),"",IF($N50=0,SUM(I$29:I50),0))</f>
      </c>
      <c r="J51" s="12">
        <f>IF(OR($B50="Усього",$B50=""),"",IF($N50=0,SUM(J$29:J50),0))</f>
      </c>
      <c r="K51" s="12">
        <f>IF(OR($B50="Усього",$B50=""),"",IF($N50=0,SUM(K$29:K50),0))</f>
      </c>
      <c r="L51" s="16">
        <f>IF(OR($B50="Усього",$B50=""),"",IF($N50=0,_XLL.ЧИСТВНДОХ(C$29:C50,B$29:B50,0.2),"Х"))</f>
      </c>
      <c r="M51" s="17">
        <f t="shared" si="4"/>
      </c>
      <c r="N51" s="6">
        <f t="shared" si="1"/>
      </c>
      <c r="O51" s="57">
        <v>22</v>
      </c>
    </row>
    <row r="52" spans="1:15" ht="9.75" hidden="1">
      <c r="A52" s="13">
        <f t="shared" si="2"/>
        <v>43252</v>
      </c>
      <c r="B52" s="13">
        <f t="shared" si="6"/>
      </c>
      <c r="C52" s="12">
        <f>IF(B52="","",IF(B52="Усього",SUM(C$30:C51),SUM(D52:K52)))</f>
      </c>
      <c r="D52" s="12">
        <f>IF(B52="","",IF($N51=0,SUM($D$30:$D51),IF($I$15=B51:B56,$D$30+#REF!,ROUND(-$D$29/$J$17,0))))</f>
      </c>
      <c r="E52" s="12">
        <f>IF(OR($B51="Усього",$B51=""),"",IF($N51=0,SUM(E$30:E51),N51*$E$18*(B52-B51)/365))</f>
      </c>
      <c r="F52" s="12">
        <f>IF(B52="","",IF($N51=0,SUM(F$29:F51),0))</f>
      </c>
      <c r="G52" s="12">
        <f>IF(OR($B51="Усього",$B51=""),"",IF($N51=0,SUM(G$29:G51),0))</f>
      </c>
      <c r="H52" s="15">
        <f>IF(B52="Усього",SUM(H$29:H51),IF(B52="","",10))</f>
      </c>
      <c r="I52" s="12">
        <f>IF(OR($B51="Усього",$B51=""),"",IF($N51=0,SUM(I$29:I51),0))</f>
      </c>
      <c r="J52" s="12">
        <f>IF(OR($B51="Усього",$B51=""),"",IF($N51=0,SUM(J$29:J51),0))</f>
      </c>
      <c r="K52" s="12">
        <f>IF(OR($B51="Усього",$B51=""),"",IF($N51=0,SUM(K$29:K51),0))</f>
      </c>
      <c r="L52" s="16">
        <f>IF(OR($B51="Усього",$B51=""),"",IF($N51=0,_XLL.ЧИСТВНДОХ(C$29:C51,B$29:B51,0.2),"Х"))</f>
      </c>
      <c r="M52" s="17">
        <f t="shared" si="4"/>
      </c>
      <c r="N52" s="6">
        <f t="shared" si="1"/>
      </c>
      <c r="O52" s="57">
        <v>23</v>
      </c>
    </row>
    <row r="53" spans="1:15" ht="18.75" customHeight="1" hidden="1">
      <c r="A53" s="13">
        <f t="shared" si="2"/>
        <v>43282</v>
      </c>
      <c r="B53" s="13">
        <f t="shared" si="6"/>
      </c>
      <c r="C53" s="12">
        <f>IF(B53="","",IF(B53="Усього",SUM(C$30:C52),SUM(D53:K53)))</f>
      </c>
      <c r="D53" s="12">
        <f>IF(B53="","",IF($N52=0,SUM($D$30:$D52),IF($I$15=B52:B57,$D$30+#REF!,ROUND(-$D$29/$J$17,0))))</f>
      </c>
      <c r="E53" s="12">
        <f>IF(OR($B52="Усього",$B52=""),"",IF($N52=0,SUM(E$30:E52),N52*$E$18*(B53-B52)/365))</f>
      </c>
      <c r="F53" s="12">
        <f>IF(B53="","",IF($N52=0,SUM(F$29:F52),0))</f>
      </c>
      <c r="G53" s="12">
        <f>IF(OR($B52="Усього",$B52=""),"",IF($N52=0,SUM(G$29:G52),0))</f>
      </c>
      <c r="H53" s="15">
        <f>IF(B53="Усього",SUM(H$29:H52),IF(B53="","",10))</f>
      </c>
      <c r="I53" s="12">
        <f>IF(OR($B52="Усього",$B52=""),"",IF($N52=0,SUM(I$29:I52),0))</f>
      </c>
      <c r="J53" s="12">
        <f>IF(OR($B52="Усього",$B52=""),"",IF($N52=0,SUM(J$29:J52),0))</f>
      </c>
      <c r="K53" s="12">
        <f>IF(OR($B52="Усього",$B52=""),"",IF($N52=0,SUM(K$29:K52),0))</f>
      </c>
      <c r="L53" s="16">
        <f>IF(OR($B52="Усього",$B52=""),"",IF($N52=0,_XLL.ЧИСТВНДОХ(C$29:C52,B$29:B52,0.2),"Х"))</f>
      </c>
      <c r="M53" s="17">
        <f t="shared" si="4"/>
      </c>
      <c r="N53" s="6">
        <f t="shared" si="1"/>
      </c>
      <c r="O53" s="57">
        <v>24</v>
      </c>
    </row>
    <row r="54" spans="1:18" ht="13.5" customHeight="1" hidden="1">
      <c r="A54" s="13">
        <f>IF(DAY($I$13)=1,"","Усього")</f>
      </c>
      <c r="B54" s="13">
        <f t="shared" si="6"/>
      </c>
      <c r="C54" s="12">
        <f>IF(B54="","",IF(B54="Усього",SUM(C$30:C53),SUM(D54:K54)))</f>
      </c>
      <c r="D54" s="12">
        <f>IF(B54="","",IF($N53=0,SUM($D$30:$D53),IF($I$15=B53:B58,$D$30+#REF!,ROUND(-$D$29/$J$17,0))))</f>
      </c>
      <c r="E54" s="12">
        <f>IF(OR($B53="Усього",$B53=""),"",IF($N53=0,SUM(E$30:E53),N53*$E$18*(B54-B53)/365))</f>
      </c>
      <c r="F54" s="12">
        <f>IF(B54="","",IF($N53=0,SUM(F$29:F53),0))</f>
      </c>
      <c r="G54" s="12">
        <f>IF(OR($B53="Усього",$B53=""),"",IF($N53=0,SUM(G$29:G53),0))</f>
      </c>
      <c r="H54" s="15">
        <f>IF(B54="Усього",SUM(H$29:H53),IF(B54="","",10))</f>
      </c>
      <c r="I54" s="12">
        <f>IF(OR($B53="Усього",$B53=""),"",IF($N53=0,SUM(I$30:I53),0))</f>
      </c>
      <c r="J54" s="12">
        <f>IF(OR($B53="Усього",$B53=""),"",IF($N53=0,SUM(J$30:J53),0))</f>
      </c>
      <c r="K54" s="12">
        <f>IF(OR($B53="Усього",$B53=""),"",IF($N53=0,SUM(K$30:K53),0))</f>
      </c>
      <c r="L54" s="16">
        <f>IF(OR($B52="Усього",$B52=""),"",IF($N53=0,_XLL.ЧИСТВНДОХ(C$29:C53,B$29:B53,0.2),""))</f>
      </c>
      <c r="M54" s="17">
        <f t="shared" si="4"/>
      </c>
      <c r="N54" s="6">
        <f t="shared" si="1"/>
      </c>
      <c r="O54" s="57">
        <v>25</v>
      </c>
      <c r="Q54" s="53">
        <f>IF(DAY(I13)=1,DATE(YEAR(I13),MONTH(I13)+I17-1,DAY($I$18)),DATE(YEAR(I13),MONTH(I13)+I17,DAY($I$18)))</f>
        <v>42911</v>
      </c>
      <c r="R54" s="1">
        <f>DATE(YEAR($I$13),MONTH($I$13)+I17,DAY($I$13)-1)</f>
        <v>42916</v>
      </c>
    </row>
    <row r="55" spans="2:16" ht="17.25">
      <c r="B55" s="28"/>
      <c r="C55" s="28"/>
      <c r="D55" s="28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67" spans="5:7" ht="9.75">
      <c r="E67" s="5"/>
      <c r="F67" s="5"/>
      <c r="G67" s="32"/>
    </row>
    <row r="68" spans="5:7" ht="9.75">
      <c r="E68" s="5"/>
      <c r="F68" s="5"/>
      <c r="G68" s="32"/>
    </row>
  </sheetData>
  <sheetProtection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8"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P66"/>
  <sheetViews>
    <sheetView showGridLines="0" tabSelected="1" zoomScale="85" zoomScaleNormal="85" zoomScaleSheetLayoutView="97" workbookViewId="0" topLeftCell="B48">
      <selection activeCell="I49" sqref="I49"/>
    </sheetView>
  </sheetViews>
  <sheetFormatPr defaultColWidth="0" defaultRowHeight="12.75" zeroHeight="1"/>
  <cols>
    <col min="1" max="1" width="0" style="66" hidden="1" customWidth="1"/>
    <col min="2" max="2" width="8.875" style="66" customWidth="1"/>
    <col min="3" max="3" width="13.50390625" style="66" customWidth="1"/>
    <col min="4" max="4" width="11.50390625" style="66" customWidth="1"/>
    <col min="5" max="5" width="11.50390625" style="73" customWidth="1"/>
    <col min="6" max="6" width="12.00390625" style="73" customWidth="1"/>
    <col min="7" max="7" width="12.875" style="66" customWidth="1"/>
    <col min="8" max="8" width="36.50390625" style="66" customWidth="1"/>
    <col min="9" max="9" width="12.625" style="66" customWidth="1"/>
    <col min="10" max="10" width="8.50390625" style="66" customWidth="1"/>
    <col min="11" max="11" width="27.50390625" style="66" hidden="1" customWidth="1"/>
    <col min="12" max="12" width="14.125" style="66" hidden="1" customWidth="1"/>
    <col min="13" max="13" width="18.50390625" style="66" hidden="1" customWidth="1"/>
    <col min="14" max="14" width="10.125" style="66" hidden="1" customWidth="1"/>
    <col min="15" max="15" width="6.125" style="66" hidden="1" customWidth="1"/>
    <col min="16" max="16" width="2.125" style="66" hidden="1" customWidth="1"/>
    <col min="17" max="16384" width="0" style="66" hidden="1" customWidth="1"/>
  </cols>
  <sheetData>
    <row r="1" spans="2:13" s="69" customFormat="1" ht="16.5" customHeight="1" hidden="1">
      <c r="B1" s="63">
        <v>1</v>
      </c>
      <c r="C1" s="63">
        <v>1</v>
      </c>
      <c r="D1" s="63">
        <v>2</v>
      </c>
      <c r="E1" s="64">
        <v>1</v>
      </c>
      <c r="F1" s="64">
        <v>1</v>
      </c>
      <c r="G1" s="63">
        <v>1</v>
      </c>
      <c r="H1" s="63"/>
      <c r="I1" s="65"/>
      <c r="J1" s="65"/>
      <c r="K1" s="66"/>
      <c r="L1" s="67"/>
      <c r="M1" s="68">
        <f>($I$11/$I$17-$D$30)*$I$17</f>
        <v>9012.054794520549</v>
      </c>
    </row>
    <row r="2" spans="2:12" s="69" customFormat="1" ht="4.5" customHeight="1" hidden="1">
      <c r="B2" s="63" t="str">
        <f>"Овердрафт «Зарплатний Максимальний»"</f>
        <v>Овердрафт «Зарплатний Максимальний»</v>
      </c>
      <c r="C2" s="63" t="str">
        <f>"гривня"</f>
        <v>гривня</v>
      </c>
      <c r="D2" s="63" t="str">
        <f>"Торговий POS-термінал"</f>
        <v>Торговий POS-термінал</v>
      </c>
      <c r="E2" s="64" t="s">
        <v>13</v>
      </c>
      <c r="F2" s="70" t="str">
        <f>"Овердрафт «Крок назустріч»"</f>
        <v>Овердрафт «Крок назустріч»</v>
      </c>
      <c r="G2" s="63" t="str">
        <f>"в кінці строку"</f>
        <v>в кінці строку</v>
      </c>
      <c r="H2" s="63"/>
      <c r="I2" s="66"/>
      <c r="J2" s="66"/>
      <c r="K2" s="66"/>
      <c r="L2" s="67"/>
    </row>
    <row r="3" spans="2:11" s="69" customFormat="1" ht="17.25" customHeight="1" hidden="1">
      <c r="B3" s="63" t="str">
        <f>"Овердрафт «Крок назустріч»"</f>
        <v>Овердрафт «Крок назустріч»</v>
      </c>
      <c r="C3" s="63" t="str">
        <f>IF($B$1=3,"долар США","---")</f>
        <v>---</v>
      </c>
      <c r="D3" s="63"/>
      <c r="E3" s="64" t="s">
        <v>14</v>
      </c>
      <c r="F3" s="70"/>
      <c r="G3" s="63" t="str">
        <f>"зменшення ліміту"</f>
        <v>зменшення ліміту</v>
      </c>
      <c r="H3" s="63"/>
      <c r="I3" s="65"/>
      <c r="J3" s="65"/>
      <c r="K3" s="66"/>
    </row>
    <row r="4" spans="2:7" ht="6" customHeight="1" hidden="1">
      <c r="B4" s="63" t="str">
        <f>"Овердрафт «Зарплатний» (індивідуальні умови)"</f>
        <v>Овердрафт «Зарплатний» (індивідуальні умови)</v>
      </c>
      <c r="C4" s="63" t="str">
        <f>IF($B$1=3,"євро","---")</f>
        <v>---</v>
      </c>
      <c r="D4" s="63"/>
      <c r="E4" s="71"/>
      <c r="F4" s="72"/>
      <c r="G4" s="63" t="str">
        <f>"щомісячна очікувана сума"</f>
        <v>щомісячна очікувана сума</v>
      </c>
    </row>
    <row r="5" spans="2:7" ht="6" customHeight="1" hidden="1">
      <c r="B5" s="63" t="str">
        <f>"Овердрафт «Кредитна картка»"</f>
        <v>Овердрафт «Кредитна картка»</v>
      </c>
      <c r="C5" s="63"/>
      <c r="D5" s="63"/>
      <c r="E5" s="71"/>
      <c r="G5" s="63"/>
    </row>
    <row r="6" spans="2:7" ht="6" customHeight="1" hidden="1">
      <c r="B6" s="63" t="str">
        <f>"Програма новий клієнт"</f>
        <v>Програма новий клієнт</v>
      </c>
      <c r="C6" s="63"/>
      <c r="D6" s="63"/>
      <c r="E6" s="71"/>
      <c r="F6" s="71"/>
      <c r="G6" s="74"/>
    </row>
    <row r="7" spans="2:7" ht="15" customHeight="1" hidden="1">
      <c r="B7" s="63" t="str">
        <f>"Овердрафт під депозит"</f>
        <v>Овердрафт під депозит</v>
      </c>
      <c r="C7" s="63"/>
      <c r="D7" s="63"/>
      <c r="E7" s="71"/>
      <c r="F7" s="71"/>
      <c r="G7" s="74"/>
    </row>
    <row r="8" spans="2:7" ht="6" customHeight="1" hidden="1">
      <c r="B8" s="63" t="str">
        <f>"Овердрафт «Додаткова пенсія»"</f>
        <v>Овердрафт «Додаткова пенсія»</v>
      </c>
      <c r="C8" s="63"/>
      <c r="D8" s="63"/>
      <c r="E8" s="71"/>
      <c r="F8" s="71"/>
      <c r="G8" s="74"/>
    </row>
    <row r="9" spans="2:13" ht="9.75" hidden="1">
      <c r="B9" s="75" t="str">
        <f>"Параметри кредитної програми"</f>
        <v>Параметри кредитної програми</v>
      </c>
      <c r="C9" s="74"/>
      <c r="D9" s="74"/>
      <c r="E9" s="71"/>
      <c r="F9" s="71"/>
      <c r="G9" s="74"/>
      <c r="H9" s="74"/>
      <c r="L9" s="76" t="str">
        <f ca="1">"Курс НБУ на "&amp;TEXT(NOW(),"ДД.ММ.ГГГГ")&amp;" р."</f>
        <v>Курс НБУ на ДД.ММ.ГГГГ р.</v>
      </c>
      <c r="M9" s="76"/>
    </row>
    <row r="10" spans="12:13" ht="4.5" customHeight="1" hidden="1">
      <c r="L10" s="76"/>
      <c r="M10" s="76"/>
    </row>
    <row r="11" spans="2:13" ht="9.75" hidden="1">
      <c r="B11" s="66" t="str">
        <f>"Програма кредитування:"</f>
        <v>Програма кредитування:</v>
      </c>
      <c r="H11" s="66" t="str">
        <f>"Ліміт овердрафту"</f>
        <v>Ліміт овердрафту</v>
      </c>
      <c r="I11" s="77">
        <f>I49</f>
        <v>10000</v>
      </c>
      <c r="J11" s="66" t="str">
        <f>IF($C$1=2,"доларів США",IF($C$1=3,"євро","грн"))</f>
        <v>грн</v>
      </c>
      <c r="K11" s="66" t="s">
        <v>12</v>
      </c>
      <c r="L11" s="78"/>
      <c r="M11" s="76" t="str">
        <f>"грн. за 100 доларів США"</f>
        <v>грн. за 100 доларів США</v>
      </c>
    </row>
    <row r="12" spans="11:13" ht="11.25" customHeight="1" hidden="1">
      <c r="K12" s="66" t="s">
        <v>15</v>
      </c>
      <c r="L12" s="79"/>
      <c r="M12" s="76"/>
    </row>
    <row r="13" spans="2:13" ht="9.75" hidden="1">
      <c r="B13" s="66" t="str">
        <f>"Валюта овердрафту:"</f>
        <v>Валюта овердрафту:</v>
      </c>
      <c r="H13" s="66" t="str">
        <f>"Дата кредитного договору:"</f>
        <v>Дата кредитного договору:</v>
      </c>
      <c r="I13" s="80">
        <v>42552</v>
      </c>
      <c r="K13" s="66" t="s">
        <v>16</v>
      </c>
      <c r="L13" s="78"/>
      <c r="M13" s="76" t="str">
        <f>"грн. за 100 євро"</f>
        <v>грн. за 100 євро</v>
      </c>
    </row>
    <row r="14" spans="12:13" ht="7.5" customHeight="1" hidden="1">
      <c r="L14" s="79"/>
      <c r="M14" s="76"/>
    </row>
    <row r="15" spans="2:13" ht="15" customHeight="1" hidden="1">
      <c r="B15" s="81"/>
      <c r="C15" s="81"/>
      <c r="D15" s="81"/>
      <c r="E15" s="82"/>
      <c r="F15" s="82"/>
      <c r="H15" s="66" t="str">
        <f>"Дата завершення овердрафту:"</f>
        <v>Дата завершення овердрафту:</v>
      </c>
      <c r="I15" s="80">
        <f>B41</f>
        <v>42917</v>
      </c>
      <c r="J15" s="83">
        <f>IF($I$15&lt;=$I$13,"Невідповідність дат","")</f>
      </c>
      <c r="L15" s="79" t="str">
        <f ca="1">"Комерційний курс на "&amp;TEXT(NOW(),"ДД.ММ.ГГГГ")&amp;" р."</f>
        <v>Комерційний курс на ДД.ММ.ГГГГ р.</v>
      </c>
      <c r="M15" s="76"/>
    </row>
    <row r="16" spans="8:13" ht="6.75" customHeight="1" hidden="1">
      <c r="H16" s="74"/>
      <c r="L16" s="79"/>
      <c r="M16" s="76"/>
    </row>
    <row r="17" spans="2:13" ht="21.75" customHeight="1" hidden="1">
      <c r="B17" s="152"/>
      <c r="C17" s="152"/>
      <c r="D17" s="153"/>
      <c r="E17" s="84"/>
      <c r="H17" s="66" t="s">
        <v>36</v>
      </c>
      <c r="I17" s="85">
        <v>12</v>
      </c>
      <c r="J17" s="86">
        <f>IF(DAY($I$13)=1,I17-1,I17)</f>
        <v>11</v>
      </c>
      <c r="L17" s="79"/>
      <c r="M17" s="76"/>
    </row>
    <row r="18" spans="2:13" ht="9.75" hidden="1">
      <c r="B18" s="66" t="str">
        <f>"Процента ставка за кредитом, річних"</f>
        <v>Процента ставка за кредитом, річних</v>
      </c>
      <c r="E18" s="87">
        <v>0.48</v>
      </c>
      <c r="H18" s="66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88">
        <v>25</v>
      </c>
      <c r="J18" s="66" t="str">
        <f>"числа кожного місяця"</f>
        <v>числа кожного місяця</v>
      </c>
      <c r="L18" s="78"/>
      <c r="M18" s="76" t="str">
        <f>"грн. за 100 доларів США"</f>
        <v>грн. за 100 доларів США</v>
      </c>
    </row>
    <row r="19" spans="5:13" ht="11.25" customHeight="1" hidden="1">
      <c r="E19" s="89"/>
      <c r="H19" s="66" t="s">
        <v>37</v>
      </c>
      <c r="I19" s="90">
        <v>0</v>
      </c>
      <c r="L19" s="79"/>
      <c r="M19" s="76"/>
    </row>
    <row r="20" spans="2:13" ht="15" customHeight="1" hidden="1">
      <c r="B20" s="66" t="str">
        <f>"Метод розрахунку процентів"</f>
        <v>Метод розрахунку процентів</v>
      </c>
      <c r="E20" s="91" t="str">
        <f>"факт/факт"</f>
        <v>факт/факт</v>
      </c>
      <c r="H20" s="92" t="s">
        <v>34</v>
      </c>
      <c r="I20" s="93">
        <v>0.05</v>
      </c>
      <c r="J20" s="66">
        <f>IF(OR($G$1=3),"гривень","")</f>
      </c>
      <c r="L20" s="78"/>
      <c r="M20" s="76" t="str">
        <f>"грн. за 100 євро"</f>
        <v>грн. за 100 євро</v>
      </c>
    </row>
    <row r="21" spans="2:9" ht="15" customHeight="1" hidden="1">
      <c r="B21" s="66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92" t="s">
        <v>35</v>
      </c>
      <c r="I21" s="94">
        <v>0</v>
      </c>
    </row>
    <row r="22" spans="2:11" ht="10.5" customHeight="1" hidden="1">
      <c r="B22" s="154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54"/>
      <c r="D22" s="154"/>
      <c r="E22" s="154"/>
      <c r="F22" s="154"/>
      <c r="G22" s="154"/>
      <c r="H22" s="155"/>
      <c r="I22" s="95">
        <v>0</v>
      </c>
      <c r="J22" s="96"/>
      <c r="K22" s="97"/>
    </row>
    <row r="23" spans="2:15" ht="12.75" customHeight="1" hidden="1">
      <c r="B23" s="156" t="s">
        <v>25</v>
      </c>
      <c r="C23" s="156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98"/>
      <c r="E23" s="99"/>
      <c r="F23" s="99"/>
      <c r="G23" s="100" t="s">
        <v>0</v>
      </c>
      <c r="H23" s="100"/>
      <c r="I23" s="101"/>
      <c r="J23" s="100"/>
      <c r="K23" s="100"/>
      <c r="L23" s="156" t="s">
        <v>27</v>
      </c>
      <c r="M23" s="159" t="s">
        <v>28</v>
      </c>
      <c r="O23" s="102"/>
    </row>
    <row r="24" spans="2:14" ht="12.75" customHeight="1" hidden="1">
      <c r="B24" s="157"/>
      <c r="C24" s="157"/>
      <c r="D24" s="156" t="s">
        <v>26</v>
      </c>
      <c r="E24" s="156" t="s">
        <v>1</v>
      </c>
      <c r="F24" s="103" t="s">
        <v>2</v>
      </c>
      <c r="G24" s="104"/>
      <c r="H24" s="104"/>
      <c r="I24" s="104"/>
      <c r="J24" s="104"/>
      <c r="K24" s="104"/>
      <c r="L24" s="157"/>
      <c r="M24" s="160"/>
      <c r="N24" s="105"/>
    </row>
    <row r="25" spans="2:14" ht="12" customHeight="1" hidden="1">
      <c r="B25" s="157"/>
      <c r="C25" s="157"/>
      <c r="D25" s="157"/>
      <c r="E25" s="157"/>
      <c r="F25" s="106" t="s">
        <v>3</v>
      </c>
      <c r="G25" s="100"/>
      <c r="H25" s="107"/>
      <c r="I25" s="98" t="s">
        <v>5</v>
      </c>
      <c r="J25" s="100"/>
      <c r="K25" s="107"/>
      <c r="L25" s="157"/>
      <c r="M25" s="160"/>
      <c r="N25" s="105"/>
    </row>
    <row r="26" spans="2:14" ht="47.25" customHeight="1" hidden="1">
      <c r="B26" s="158"/>
      <c r="C26" s="158"/>
      <c r="D26" s="158"/>
      <c r="E26" s="158"/>
      <c r="F26" s="108" t="s">
        <v>30</v>
      </c>
      <c r="G26" s="108" t="s">
        <v>29</v>
      </c>
      <c r="H26" s="109" t="s">
        <v>4</v>
      </c>
      <c r="I26" s="109" t="s">
        <v>6</v>
      </c>
      <c r="J26" s="109" t="s">
        <v>7</v>
      </c>
      <c r="K26" s="110" t="s">
        <v>8</v>
      </c>
      <c r="L26" s="158"/>
      <c r="M26" s="161"/>
      <c r="N26" s="105"/>
    </row>
    <row r="27" spans="2:13" ht="19.5" customHeight="1" hidden="1">
      <c r="B27" s="111">
        <v>1</v>
      </c>
      <c r="C27" s="111">
        <v>2</v>
      </c>
      <c r="D27" s="111">
        <v>3</v>
      </c>
      <c r="E27" s="111">
        <v>4</v>
      </c>
      <c r="F27" s="112"/>
      <c r="G27" s="113">
        <v>5</v>
      </c>
      <c r="H27" s="114"/>
      <c r="I27" s="112"/>
      <c r="J27" s="113">
        <v>6</v>
      </c>
      <c r="K27" s="114"/>
      <c r="L27" s="111">
        <v>7</v>
      </c>
      <c r="M27" s="111">
        <v>8</v>
      </c>
    </row>
    <row r="28" spans="2:14" ht="11.25" customHeight="1" hidden="1">
      <c r="B28" s="115"/>
      <c r="C28" s="115"/>
      <c r="D28" s="115"/>
      <c r="E28" s="115"/>
      <c r="F28" s="116" t="s">
        <v>9</v>
      </c>
      <c r="G28" s="116" t="s">
        <v>20</v>
      </c>
      <c r="H28" s="116" t="s">
        <v>21</v>
      </c>
      <c r="I28" s="116" t="s">
        <v>22</v>
      </c>
      <c r="J28" s="116" t="s">
        <v>23</v>
      </c>
      <c r="K28" s="116" t="s">
        <v>24</v>
      </c>
      <c r="L28" s="115"/>
      <c r="M28" s="115"/>
      <c r="N28" s="102" t="s">
        <v>11</v>
      </c>
    </row>
    <row r="29" spans="1:15" ht="21.75" customHeight="1" hidden="1">
      <c r="A29" s="117">
        <f>DATE(YEAR($I$15),MONTH($I$15),1)</f>
        <v>42917</v>
      </c>
      <c r="B29" s="117">
        <f>I13</f>
        <v>42552</v>
      </c>
      <c r="C29" s="118">
        <f>D29+SUM(F29:K29)</f>
        <v>-10000</v>
      </c>
      <c r="D29" s="118">
        <f>-I11</f>
        <v>-10000</v>
      </c>
      <c r="E29" s="119" t="s">
        <v>10</v>
      </c>
      <c r="F29" s="120">
        <f>$I$11*$E$17</f>
        <v>0</v>
      </c>
      <c r="G29" s="120">
        <f>I22*I11</f>
        <v>0</v>
      </c>
      <c r="H29" s="120">
        <v>0</v>
      </c>
      <c r="I29" s="120"/>
      <c r="J29" s="120">
        <v>0</v>
      </c>
      <c r="K29" s="120">
        <v>0</v>
      </c>
      <c r="L29" s="119" t="s">
        <v>10</v>
      </c>
      <c r="M29" s="119" t="s">
        <v>10</v>
      </c>
      <c r="N29" s="121">
        <f>-D29</f>
        <v>10000</v>
      </c>
      <c r="O29" s="122"/>
    </row>
    <row r="30" spans="1:15" ht="9.75" hidden="1">
      <c r="A30" s="117">
        <f>DATE(YEAR(I13),MONTH(I13)+1,1)</f>
        <v>42583</v>
      </c>
      <c r="B30" s="117">
        <v>42583</v>
      </c>
      <c r="C30" s="120">
        <f>IF(B30="","",IF(B30="Усього",SUM(C29:C$30),SUM(D30:K30)))</f>
        <v>500</v>
      </c>
      <c r="D30" s="120">
        <f>(N29*I20)-E30-F30-H30-I30</f>
        <v>82.32876712328766</v>
      </c>
      <c r="E30" s="118">
        <f>IF(OR($B29="Усього",$B29=""),"",IF($N29=0,SUM(E29:E$30),N29*$E$18*(B30-B29)/365))</f>
        <v>407.67123287671234</v>
      </c>
      <c r="F30" s="118">
        <v>10</v>
      </c>
      <c r="G30" s="118">
        <f>IF(OR($B29="Усього",$B29=""),"",IF($N29=0,SUM(G$29:G29),0))</f>
        <v>0</v>
      </c>
      <c r="H30" s="120">
        <f>N29*I21</f>
        <v>0</v>
      </c>
      <c r="I30" s="120">
        <f>N29*I19</f>
        <v>0</v>
      </c>
      <c r="J30" s="118">
        <f>IF(OR($B29="Усього",$B29=""),"",IF($N29=0,SUM(J$29:J29),0))</f>
        <v>0</v>
      </c>
      <c r="K30" s="118">
        <f>IF(OR($B29="Усього",$B29=""),"",IF($N29=0,SUM(K$29:K29),0))</f>
        <v>0</v>
      </c>
      <c r="L30" s="123" t="str">
        <f>IF($I$11&lt;=0,0,IF($N29=0,0,"Х"))</f>
        <v>Х</v>
      </c>
      <c r="M30" s="124" t="str">
        <f>IF(OR($B29="Усього",$B29=""),"",IF($N29=0,SUM(E30:K30),"Х"))</f>
        <v>Х</v>
      </c>
      <c r="N30" s="121">
        <f aca="true" t="shared" si="0" ref="N30:N42">IF(OR($B29="Усього",$B29=""),"",IF($N29=0,"",IF(DATE(YEAR(B29),MONTH(B29)+1,DAY($I$17))&gt;$I$15,0,N29-D30)))</f>
        <v>9917.671232876712</v>
      </c>
      <c r="O30" s="125">
        <v>1</v>
      </c>
    </row>
    <row r="31" spans="1:15" ht="9.75" hidden="1">
      <c r="A31" s="117">
        <f aca="true" t="shared" si="1" ref="A31:A42">DATE(YEAR(A30),MONTH(A30)+1,1)</f>
        <v>42614</v>
      </c>
      <c r="B31" s="117">
        <v>42614</v>
      </c>
      <c r="C31" s="118">
        <f>IF(B31="","",IF(B31="Усього",SUM(C$30:C30),SUM(D31:K31)))</f>
        <v>495.8835616438356</v>
      </c>
      <c r="D31" s="118">
        <f>(N30*I20)-E31-F31-H31-I31</f>
        <v>81.56863576656036</v>
      </c>
      <c r="E31" s="118">
        <f>IF(OR($B30="Усього",$B30=""),"",IF($N30=0,SUM(E$30:E30),N30*$E$18*(B31-B30)/365))</f>
        <v>404.31492587727524</v>
      </c>
      <c r="F31" s="118">
        <v>10</v>
      </c>
      <c r="G31" s="118">
        <f>IF(OR($B30="Усього",$B30=""),"",IF($N30=0,SUM(G$29:G30),0))</f>
        <v>0</v>
      </c>
      <c r="H31" s="120">
        <f>N30*I21</f>
        <v>0</v>
      </c>
      <c r="I31" s="120">
        <f>N30*I19</f>
        <v>0</v>
      </c>
      <c r="J31" s="118">
        <f>IF(OR($B30="Усього",$B30=""),"",IF($N30=0,SUM(J$29:J30),0))</f>
        <v>0</v>
      </c>
      <c r="K31" s="118">
        <f>IF(OR($B30="Усього",$B30=""),"",IF($N30=0,SUM(K$29:K30),0))</f>
        <v>0</v>
      </c>
      <c r="L31" s="123" t="str">
        <f>IF(OR($B30="Усього",$B30=""),"",IF($N30=0,_XLL.ЧИСТВНДОХ(C$29:C30,B$29:B30,0.2),"Х"))</f>
        <v>Х</v>
      </c>
      <c r="M31" s="124" t="str">
        <f aca="true" t="shared" si="2" ref="M31:M42">IF(OR($B30="Усього",$B30=""),"",IF($N30=0,SUM(E31:K31),"Х"))</f>
        <v>Х</v>
      </c>
      <c r="N31" s="121">
        <f t="shared" si="0"/>
        <v>9836.102597110152</v>
      </c>
      <c r="O31" s="125">
        <v>2</v>
      </c>
    </row>
    <row r="32" spans="1:15" ht="9.75" hidden="1">
      <c r="A32" s="117">
        <f t="shared" si="1"/>
        <v>42644</v>
      </c>
      <c r="B32" s="117">
        <v>42644</v>
      </c>
      <c r="C32" s="118">
        <f>IF(B32="","",IF(B32="Усього",SUM(C$30:C31),SUM(D32:K32)))</f>
        <v>491.80512985550763</v>
      </c>
      <c r="D32" s="118">
        <f>(N31*I20)-E32-F32-H32-I32</f>
        <v>93.75067122979215</v>
      </c>
      <c r="E32" s="118">
        <f>IF(OR($B31="Усього",$B31=""),"",IF($N31=0,SUM(E$30:E31),N31*$E$18*(B32-B31)/365))</f>
        <v>388.0544586257155</v>
      </c>
      <c r="F32" s="118">
        <v>10</v>
      </c>
      <c r="G32" s="118">
        <f>IF(OR($B31="Усього",$B31=""),"",IF($N31=0,SUM(G$29:G31),0))</f>
        <v>0</v>
      </c>
      <c r="H32" s="120">
        <f>N31*I21</f>
        <v>0</v>
      </c>
      <c r="I32" s="120">
        <f>N31*I19</f>
        <v>0</v>
      </c>
      <c r="J32" s="118">
        <f>IF(OR($B31="Усього",$B31=""),"",IF($N31=0,SUM(J$29:J31),0))</f>
        <v>0</v>
      </c>
      <c r="K32" s="118">
        <f>IF(OR($B31="Усього",$B31=""),"",IF($N31=0,SUM(K$29:K31),0))</f>
        <v>0</v>
      </c>
      <c r="L32" s="123" t="str">
        <f>IF(OR($B31="Усього",$B31=""),"",IF($N31=0,_XLL.ЧИСТВНДОХ(C$29:C31,B$29:B31,0.2),"Х"))</f>
        <v>Х</v>
      </c>
      <c r="M32" s="124" t="str">
        <f t="shared" si="2"/>
        <v>Х</v>
      </c>
      <c r="N32" s="121">
        <f t="shared" si="0"/>
        <v>9742.351925880359</v>
      </c>
      <c r="O32" s="125">
        <v>3</v>
      </c>
    </row>
    <row r="33" spans="1:15" ht="9.75" hidden="1">
      <c r="A33" s="117">
        <f t="shared" si="1"/>
        <v>42675</v>
      </c>
      <c r="B33" s="117">
        <v>42675</v>
      </c>
      <c r="C33" s="118">
        <f>IF(B33="","",IF(B33="Усього",SUM(C$30:C32),SUM(D33:K33)))</f>
        <v>487.11759629401797</v>
      </c>
      <c r="D33" s="118">
        <f>(N32*I20)-E33-F33-H33-I33</f>
        <v>79.94993421977205</v>
      </c>
      <c r="E33" s="118">
        <f>IF(OR($B32="Усього",$B32=""),"",IF($N32=0,SUM(E$30:E32),N32*$E$18*(B33-B32)/365))</f>
        <v>397.1676620742459</v>
      </c>
      <c r="F33" s="118">
        <v>10</v>
      </c>
      <c r="G33" s="118">
        <f>IF(OR($B32="Усього",$B32=""),"",IF($N32=0,SUM(G$29:G32),0))</f>
        <v>0</v>
      </c>
      <c r="H33" s="120">
        <f>N32*I21</f>
        <v>0</v>
      </c>
      <c r="I33" s="120">
        <f>N32*I19</f>
        <v>0</v>
      </c>
      <c r="J33" s="118">
        <f>IF(OR($B32="Усього",$B32=""),"",IF($N32=0,SUM(J$29:J32),0))</f>
        <v>0</v>
      </c>
      <c r="K33" s="118">
        <f>IF(OR($B32="Усього",$B32=""),"",IF($N32=0,SUM(K$29:K32),0))</f>
        <v>0</v>
      </c>
      <c r="L33" s="123" t="str">
        <f>IF(OR($B32="Усього",$B32=""),"",IF($N32=0,_XLL.ЧИСТВНДОХ(C$29:C32,B$29:B32,0.2),"Х"))</f>
        <v>Х</v>
      </c>
      <c r="M33" s="124" t="str">
        <f t="shared" si="2"/>
        <v>Х</v>
      </c>
      <c r="N33" s="121">
        <f t="shared" si="0"/>
        <v>9662.401991660587</v>
      </c>
      <c r="O33" s="125">
        <v>4</v>
      </c>
    </row>
    <row r="34" spans="1:15" ht="9.75" hidden="1">
      <c r="A34" s="117">
        <f t="shared" si="1"/>
        <v>42705</v>
      </c>
      <c r="B34" s="117">
        <v>42705</v>
      </c>
      <c r="C34" s="118">
        <f>IF(B34="","",IF(B34="Усього",SUM(C$30:C33),SUM(D34:K34)))</f>
        <v>483.12009958302934</v>
      </c>
      <c r="D34" s="118">
        <f>(N33*I20)-E34-F34-H34-I34</f>
        <v>91.9184867613514</v>
      </c>
      <c r="E34" s="118">
        <f>IF(OR($B33="Усього",$B33=""),"",IF($N33=0,SUM(E$30:E33),N33*$E$18*(B34-B33)/365))</f>
        <v>381.20161282167794</v>
      </c>
      <c r="F34" s="118">
        <v>10</v>
      </c>
      <c r="G34" s="118">
        <f>IF(OR($B33="Усього",$B33=""),"",IF($N33=0,SUM(G$29:G33),0))</f>
        <v>0</v>
      </c>
      <c r="H34" s="120">
        <f>N33*I21</f>
        <v>0</v>
      </c>
      <c r="I34" s="120">
        <f>N33*I19</f>
        <v>0</v>
      </c>
      <c r="J34" s="118">
        <f>IF(OR($B33="Усього",$B33=""),"",IF($N33=0,SUM(J$29:J33),0))</f>
        <v>0</v>
      </c>
      <c r="K34" s="118">
        <f>IF(OR($B33="Усього",$B33=""),"",IF($N33=0,SUM(K$29:K33),0))</f>
        <v>0</v>
      </c>
      <c r="L34" s="123" t="str">
        <f>IF(OR($B33="Усього",$B33=""),"",IF($N33=0,_XLL.ЧИСТВНДОХ(C$29:C33,B$29:B33,0.2),"Х"))</f>
        <v>Х</v>
      </c>
      <c r="M34" s="124" t="str">
        <f t="shared" si="2"/>
        <v>Х</v>
      </c>
      <c r="N34" s="121">
        <f t="shared" si="0"/>
        <v>9570.483504899235</v>
      </c>
      <c r="O34" s="125">
        <v>5</v>
      </c>
    </row>
    <row r="35" spans="1:16" ht="9.75" hidden="1">
      <c r="A35" s="117">
        <f t="shared" si="1"/>
        <v>42736</v>
      </c>
      <c r="B35" s="117">
        <v>42736</v>
      </c>
      <c r="C35" s="118">
        <f>IF(B35="","",IF(B35="Усього",SUM(C$30:C34),SUM(D35:K35)))</f>
        <v>478.5241752449618</v>
      </c>
      <c r="D35" s="118">
        <f>(N34*I20)-E35-F35-H35-I35</f>
        <v>78.36309427811085</v>
      </c>
      <c r="E35" s="118">
        <f>IF(OR($B34="Усього",$B34=""),"",IF($N34=0,SUM(E$30:E34),N34*$E$18*(B35-B34)/365))</f>
        <v>390.16108096685093</v>
      </c>
      <c r="F35" s="118">
        <v>10</v>
      </c>
      <c r="G35" s="118">
        <f>IF(OR($B34="Усього",$B34=""),"",IF($N34=0,SUM(G$29:G34),0))</f>
        <v>0</v>
      </c>
      <c r="H35" s="120">
        <f>N34*I21</f>
        <v>0</v>
      </c>
      <c r="I35" s="120">
        <f>N34*I19</f>
        <v>0</v>
      </c>
      <c r="J35" s="118">
        <f>IF(OR($B34="Усього",$B34=""),"",IF($N34=0,SUM(J$29:J34),0))</f>
        <v>0</v>
      </c>
      <c r="K35" s="118">
        <f>IF(OR($B34="Усього",$B34=""),"",IF($N34=0,SUM(K$29:K34),0))</f>
        <v>0</v>
      </c>
      <c r="L35" s="123" t="str">
        <f>IF(OR($B34="Усього",$B34=""),"",IF($N34=0,_XLL.ЧИСТВНДОХ(C$29:C34,B$29:B34,0.2),"Х"))</f>
        <v>Х</v>
      </c>
      <c r="M35" s="124" t="str">
        <f t="shared" si="2"/>
        <v>Х</v>
      </c>
      <c r="N35" s="121">
        <f t="shared" si="0"/>
        <v>9492.120410621124</v>
      </c>
      <c r="O35" s="125">
        <v>6</v>
      </c>
      <c r="P35" s="122"/>
    </row>
    <row r="36" spans="1:15" ht="9.75" hidden="1">
      <c r="A36" s="117">
        <f t="shared" si="1"/>
        <v>42767</v>
      </c>
      <c r="B36" s="117">
        <v>42767</v>
      </c>
      <c r="C36" s="118">
        <f>IF(B36="","",IF(B36="Усього",SUM(C$30:C35),SUM(D36:K36)))</f>
        <v>474.60602053105623</v>
      </c>
      <c r="D36" s="118">
        <f>(N35*I20)-E36-F36-H36-I36</f>
        <v>77.63957748984438</v>
      </c>
      <c r="E36" s="118">
        <f>IF(OR($B35="Усього",$B35=""),"",IF($N35=0,SUM(E$30:E35),N35*$E$18*(B36-B35)/365))</f>
        <v>386.96644304121185</v>
      </c>
      <c r="F36" s="118">
        <v>10</v>
      </c>
      <c r="G36" s="118">
        <f>IF(OR($B35="Усього",$B35=""),"",IF($N35=0,SUM(G$29:G35),0))</f>
        <v>0</v>
      </c>
      <c r="H36" s="120">
        <f>N35*I21</f>
        <v>0</v>
      </c>
      <c r="I36" s="120">
        <f>N35*I19</f>
        <v>0</v>
      </c>
      <c r="J36" s="118">
        <f>IF(OR($B35="Усього",$B35=""),"",IF($N35=0,SUM(J$29:J35),0))</f>
        <v>0</v>
      </c>
      <c r="K36" s="118">
        <f>IF(OR($B35="Усього",$B35=""),"",IF($N35=0,SUM(K$29:K35),0))</f>
        <v>0</v>
      </c>
      <c r="L36" s="123" t="str">
        <f>IF(OR($B35="Усього",$B35=""),"",IF($N35=0,_XLL.ЧИСТВНДОХ(C$29:C35,B$29:B35,0.2),"Х"))</f>
        <v>Х</v>
      </c>
      <c r="M36" s="124" t="str">
        <f t="shared" si="2"/>
        <v>Х</v>
      </c>
      <c r="N36" s="121">
        <f t="shared" si="0"/>
        <v>9414.48083313128</v>
      </c>
      <c r="O36" s="125">
        <v>7</v>
      </c>
    </row>
    <row r="37" spans="1:15" ht="9.75" hidden="1">
      <c r="A37" s="117">
        <f t="shared" si="1"/>
        <v>42795</v>
      </c>
      <c r="B37" s="117">
        <v>42795</v>
      </c>
      <c r="C37" s="118">
        <f>IF(B37="","",IF(B37="Усього",SUM(C$30:C36),SUM(D37:K37)))</f>
        <v>470.724041656564</v>
      </c>
      <c r="D37" s="118">
        <f>(N36*I20)-E37-F37-H37-I37</f>
        <v>114.06480221194926</v>
      </c>
      <c r="E37" s="118">
        <f>IF(OR($B36="Усього",$B36=""),"",IF($N36=0,SUM(E$30:E36),N36*$E$18*(B37-B36)/365))</f>
        <v>346.65923944461474</v>
      </c>
      <c r="F37" s="118">
        <v>10</v>
      </c>
      <c r="G37" s="118">
        <f>IF(OR($B36="Усього",$B36=""),"",IF($N36=0,SUM(G$29:G36),0))</f>
        <v>0</v>
      </c>
      <c r="H37" s="120">
        <f>N36*I21</f>
        <v>0</v>
      </c>
      <c r="I37" s="120">
        <f>N36*I19</f>
        <v>0</v>
      </c>
      <c r="J37" s="118">
        <f>IF(OR($B36="Усього",$B36=""),"",IF($N36=0,SUM(J$29:J36),0))</f>
        <v>0</v>
      </c>
      <c r="K37" s="118">
        <f>IF(OR($B36="Усього",$B36=""),"",IF($N36=0,SUM(K$29:K36),0))</f>
        <v>0</v>
      </c>
      <c r="L37" s="123" t="str">
        <f>IF(OR($B36="Усього",$B36=""),"",IF($N36=0,_XLL.ЧИСТВНДОХ(C$29:C36,B$29:B36,0.2),"Х"))</f>
        <v>Х</v>
      </c>
      <c r="M37" s="124" t="str">
        <f t="shared" si="2"/>
        <v>Х</v>
      </c>
      <c r="N37" s="121">
        <f t="shared" si="0"/>
        <v>9300.41603091933</v>
      </c>
      <c r="O37" s="125">
        <v>8</v>
      </c>
    </row>
    <row r="38" spans="1:15" ht="9.75" hidden="1">
      <c r="A38" s="117">
        <f t="shared" si="1"/>
        <v>42826</v>
      </c>
      <c r="B38" s="117">
        <v>42826</v>
      </c>
      <c r="C38" s="118">
        <f>IF(B38="","",IF(B38="Усього",SUM(C$30:C37),SUM(D38:K38)))</f>
        <v>465.02080154596655</v>
      </c>
      <c r="D38" s="118">
        <f>(N37*I20)-E38-F38-H38-I38</f>
        <v>75.86959458684436</v>
      </c>
      <c r="E38" s="118">
        <f>IF(OR($B37="Усього",$B37=""),"",IF($N37=0,SUM(E$30:E37),N37*$E$18*(B38-B37)/365))</f>
        <v>379.1512069591222</v>
      </c>
      <c r="F38" s="118">
        <v>10</v>
      </c>
      <c r="G38" s="118">
        <f>IF(OR($B37="Усього",$B37=""),"",IF($N37=0,SUM(G$29:G37),0))</f>
        <v>0</v>
      </c>
      <c r="H38" s="120">
        <f>N37*I21</f>
        <v>0</v>
      </c>
      <c r="I38" s="120">
        <f>N37*I19</f>
        <v>0</v>
      </c>
      <c r="J38" s="118">
        <f>IF(OR($B37="Усього",$B37=""),"",IF($N37=0,SUM(J$29:J37),0))</f>
        <v>0</v>
      </c>
      <c r="K38" s="118">
        <f>IF(OR($B37="Усього",$B37=""),"",IF($N37=0,SUM(K$29:K37),0))</f>
        <v>0</v>
      </c>
      <c r="L38" s="123" t="str">
        <f>IF(OR($B37="Усього",$B37=""),"",IF($N37=0,_XLL.ЧИСТВНДОХ(C$29:C37,B$29:B37,0.2),"Х"))</f>
        <v>Х</v>
      </c>
      <c r="M38" s="124" t="str">
        <f t="shared" si="2"/>
        <v>Х</v>
      </c>
      <c r="N38" s="121">
        <f t="shared" si="0"/>
        <v>9224.546436332486</v>
      </c>
      <c r="O38" s="125">
        <v>9</v>
      </c>
    </row>
    <row r="39" spans="1:15" ht="9.75" hidden="1">
      <c r="A39" s="117">
        <f t="shared" si="1"/>
        <v>42856</v>
      </c>
      <c r="B39" s="117">
        <v>42856</v>
      </c>
      <c r="C39" s="118">
        <f>IF(B39="","",IF(B39="Усього",SUM(C$30:C38),SUM(D39:K39)))</f>
        <v>461.22732181662434</v>
      </c>
      <c r="D39" s="118">
        <f>(N38*I20)-E39-F39-H39-I39</f>
        <v>87.30001035583587</v>
      </c>
      <c r="E39" s="118">
        <f>IF(OR($B38="Усього",$B38=""),"",IF($N38=0,SUM(E$30:E38),N38*$E$18*(B39-B38)/365))</f>
        <v>363.9273114607885</v>
      </c>
      <c r="F39" s="118">
        <v>10</v>
      </c>
      <c r="G39" s="118">
        <f>IF(OR($B38="Усього",$B38=""),"",IF($N38=0,SUM(G$29:G38),0))</f>
        <v>0</v>
      </c>
      <c r="H39" s="120">
        <f>N38*I21</f>
        <v>0</v>
      </c>
      <c r="I39" s="120">
        <f>N38*I19</f>
        <v>0</v>
      </c>
      <c r="J39" s="118">
        <f>IF(OR($B38="Усього",$B38=""),"",IF($N38=0,SUM(J$29:J38),0))</f>
        <v>0</v>
      </c>
      <c r="K39" s="118">
        <f>IF(OR($B38="Усього",$B38=""),"",IF($N38=0,SUM(K$29:K38),0))</f>
        <v>0</v>
      </c>
      <c r="L39" s="123" t="str">
        <f>IF(OR($B38="Усього",$B38=""),"",IF($N38=0,_XLL.ЧИСТВНДОХ(C$29:C38,B$29:B38,0.2),"Х"))</f>
        <v>Х</v>
      </c>
      <c r="M39" s="124" t="str">
        <f t="shared" si="2"/>
        <v>Х</v>
      </c>
      <c r="N39" s="121">
        <f t="shared" si="0"/>
        <v>9137.246425976651</v>
      </c>
      <c r="O39" s="125">
        <v>10</v>
      </c>
    </row>
    <row r="40" spans="1:15" ht="9.75" hidden="1">
      <c r="A40" s="117">
        <f t="shared" si="1"/>
        <v>42887</v>
      </c>
      <c r="B40" s="117">
        <v>42887</v>
      </c>
      <c r="C40" s="118">
        <f>IF(B40="","",IF(B40="Усього",SUM(C$30:C39),SUM(D40:K40)))</f>
        <v>456.86232129883257</v>
      </c>
      <c r="D40" s="118">
        <f>(N39*I20)-E40-F40-H40-I40</f>
        <v>74.36306974120907</v>
      </c>
      <c r="E40" s="118">
        <f>IF(OR($B39="Усього",$B39=""),"",IF($N39=0,SUM(E$30:E39),N39*$E$18*(B40-B39)/365))</f>
        <v>372.4992515576235</v>
      </c>
      <c r="F40" s="118">
        <v>10</v>
      </c>
      <c r="G40" s="118">
        <f>IF(OR($B39="Усього",$B39=""),"",IF($N39=0,SUM(G$29:G39),0))</f>
        <v>0</v>
      </c>
      <c r="H40" s="120">
        <f>N39*I21</f>
        <v>0</v>
      </c>
      <c r="I40" s="120">
        <f>N39*I19</f>
        <v>0</v>
      </c>
      <c r="J40" s="118">
        <f>IF(OR($B39="Усього",$B39=""),"",IF($N39=0,SUM(J$29:J39),0))</f>
        <v>0</v>
      </c>
      <c r="K40" s="118">
        <f>IF(OR($B39="Усього",$B39=""),"",IF($N39=0,SUM(K$29:K39),0))</f>
        <v>0</v>
      </c>
      <c r="L40" s="123" t="str">
        <f>IF(OR($B39="Усього",$B39=""),"",IF($N39=0,_XLL.ЧИСТВНДОХ(C$29:C39,B$29:B39,0.2),"Х"))</f>
        <v>Х</v>
      </c>
      <c r="M40" s="124" t="str">
        <f t="shared" si="2"/>
        <v>Х</v>
      </c>
      <c r="N40" s="121">
        <f t="shared" si="0"/>
        <v>9062.883356235441</v>
      </c>
      <c r="O40" s="125">
        <v>11</v>
      </c>
    </row>
    <row r="41" spans="1:15" ht="9.75" hidden="1">
      <c r="A41" s="117">
        <f t="shared" si="1"/>
        <v>42917</v>
      </c>
      <c r="B41" s="117">
        <v>42917</v>
      </c>
      <c r="C41" s="118">
        <f>IF(B41="","",IF(B41="Усього",SUM(C$30:C40),SUM(D41:K41)))</f>
        <v>9430.43272700199</v>
      </c>
      <c r="D41" s="118">
        <f>N40</f>
        <v>9062.883356235441</v>
      </c>
      <c r="E41" s="118">
        <f>IF(OR($B40="Усього",$B40=""),"",IF($N40=0,SUM(E$30:E40),N40*$E$18*(B41-B40)/365))</f>
        <v>357.5493707665489</v>
      </c>
      <c r="F41" s="118">
        <v>10</v>
      </c>
      <c r="G41" s="118">
        <f>IF(OR($B40="Усього",$B40=""),"",IF($N40=0,SUM(G$29:G40),0))</f>
        <v>0</v>
      </c>
      <c r="H41" s="120">
        <f>N40*I21</f>
        <v>0</v>
      </c>
      <c r="I41" s="120">
        <f>N40*I19</f>
        <v>0</v>
      </c>
      <c r="J41" s="118">
        <f>IF(OR($B40="Усього",$B40=""),"",IF($N40=0,SUM(J$29:J40),0))</f>
        <v>0</v>
      </c>
      <c r="K41" s="118">
        <f>IF(OR($B40="Усього",$B40=""),"",IF($N40=0,SUM(K$29:K40),0))</f>
        <v>0</v>
      </c>
      <c r="L41" s="123" t="str">
        <f>IF(OR($B40="Усього",$B40=""),"",IF($N40=0,_XLL.ЧИСТВНДОХ(C$29:C40,B$29:B40,0.2),"Х"))</f>
        <v>Х</v>
      </c>
      <c r="M41" s="124" t="str">
        <f t="shared" si="2"/>
        <v>Х</v>
      </c>
      <c r="N41" s="121">
        <f t="shared" si="0"/>
        <v>0</v>
      </c>
      <c r="O41" s="125">
        <v>12</v>
      </c>
    </row>
    <row r="42" spans="1:15" ht="9.75" hidden="1">
      <c r="A42" s="117">
        <f t="shared" si="1"/>
        <v>42948</v>
      </c>
      <c r="B42" s="117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18">
        <f>IF(B42="","",IF(B42="Усього",SUM(C$30:C41),SUM(D42:K42)))</f>
      </c>
      <c r="D42" s="118">
        <f>IF(B42="","",IF($N41=0,SUM($D$30:$D41),IF($I$15=B41:B42,$D$30+#REF!,ROUND(-$D$29/$J$17,0))))</f>
      </c>
      <c r="E42" s="118">
        <f>IF(OR($B41="Усього",$B41=""),"",IF($N41=0,SUM(E$30:E41),N41*$E$18*(B42-B41)/365))</f>
        <v>4575.323796472388</v>
      </c>
      <c r="F42" s="118">
        <f>IF(B42="","",IF($N41=0,SUM(F$29:F41),0))</f>
      </c>
      <c r="G42" s="118">
        <f>IF(OR($B41="Усього",$B41=""),"",IF($N41=0,SUM(G$29:G41),0))</f>
        <v>0</v>
      </c>
      <c r="H42" s="120">
        <f>SUM(H29:H41)</f>
        <v>0</v>
      </c>
      <c r="I42" s="118">
        <f>IF(OR($B41="Усього",$B41=""),"",IF($N41=0,SUM(I$29:I41),0))</f>
        <v>0</v>
      </c>
      <c r="J42" s="118">
        <f>IF(OR($B41="Усього",$B41=""),"",IF($N41=0,SUM(J$29:J41),0))</f>
        <v>0</v>
      </c>
      <c r="K42" s="118">
        <f>IF(OR($B41="Усього",$B41=""),"",IF($N41=0,SUM(K$29:K41),0))</f>
        <v>0</v>
      </c>
      <c r="L42" s="123">
        <f>IF(OR($B41="Усього",$B41=""),"",IF($N41=0,_XLL.ЧИСТВНДОХ($C$29:$C$41,$B$29:$B$41,0.2),"Х"))</f>
        <v>0.6203874766826631</v>
      </c>
      <c r="M42" s="124">
        <f t="shared" si="2"/>
        <v>4575.323796472388</v>
      </c>
      <c r="N42" s="121">
        <f t="shared" si="0"/>
      </c>
      <c r="O42" s="125">
        <v>13</v>
      </c>
    </row>
    <row r="43" ht="9.75" hidden="1"/>
    <row r="44" ht="9.75" hidden="1"/>
    <row r="45" ht="9.75" hidden="1"/>
    <row r="46" ht="9.75" hidden="1"/>
    <row r="47" ht="9.75" hidden="1"/>
    <row r="48" ht="60" customHeight="1"/>
    <row r="49" spans="1:10" ht="20.25">
      <c r="A49" s="135"/>
      <c r="B49" s="165" t="s">
        <v>39</v>
      </c>
      <c r="C49" s="165"/>
      <c r="D49" s="165"/>
      <c r="E49" s="165"/>
      <c r="F49" s="165"/>
      <c r="G49" s="165"/>
      <c r="H49" s="165"/>
      <c r="I49" s="136">
        <v>10000</v>
      </c>
      <c r="J49" s="127" t="s">
        <v>32</v>
      </c>
    </row>
    <row r="50" spans="1:10" ht="9.75" customHeight="1">
      <c r="A50" s="135"/>
      <c r="B50" s="137"/>
      <c r="C50" s="137"/>
      <c r="D50" s="137"/>
      <c r="E50" s="137"/>
      <c r="F50" s="137"/>
      <c r="G50" s="137"/>
      <c r="H50" s="137"/>
      <c r="I50" s="139"/>
      <c r="J50" s="127"/>
    </row>
    <row r="51" spans="1:10" ht="17.25">
      <c r="A51" s="135"/>
      <c r="B51" s="164" t="s">
        <v>42</v>
      </c>
      <c r="C51" s="164"/>
      <c r="D51" s="164"/>
      <c r="E51" s="164"/>
      <c r="F51" s="164"/>
      <c r="G51" s="164"/>
      <c r="H51" s="164"/>
      <c r="I51" s="167">
        <v>0.48</v>
      </c>
      <c r="J51" s="127"/>
    </row>
    <row r="52" spans="1:10" ht="9.75" customHeight="1">
      <c r="A52" s="135"/>
      <c r="B52" s="137"/>
      <c r="C52" s="137"/>
      <c r="D52" s="137"/>
      <c r="E52" s="137"/>
      <c r="F52" s="137"/>
      <c r="G52" s="138"/>
      <c r="H52" s="135"/>
      <c r="I52" s="139"/>
      <c r="J52" s="127"/>
    </row>
    <row r="53" spans="1:10" ht="17.25">
      <c r="A53" s="135"/>
      <c r="B53" s="164" t="s">
        <v>31</v>
      </c>
      <c r="C53" s="164"/>
      <c r="D53" s="164"/>
      <c r="E53" s="164"/>
      <c r="F53" s="164"/>
      <c r="G53" s="164"/>
      <c r="H53" s="164"/>
      <c r="I53" s="139">
        <f>C30</f>
        <v>500</v>
      </c>
      <c r="J53" s="127" t="s">
        <v>32</v>
      </c>
    </row>
    <row r="54" spans="1:10" ht="9.75" customHeight="1">
      <c r="A54" s="135"/>
      <c r="B54" s="137"/>
      <c r="C54" s="137"/>
      <c r="D54" s="137"/>
      <c r="E54" s="137"/>
      <c r="F54" s="137"/>
      <c r="G54" s="137"/>
      <c r="H54" s="137"/>
      <c r="I54" s="139"/>
      <c r="J54" s="127"/>
    </row>
    <row r="55" spans="1:10" ht="17.25">
      <c r="A55" s="164" t="s">
        <v>40</v>
      </c>
      <c r="B55" s="164"/>
      <c r="C55" s="164"/>
      <c r="D55" s="164"/>
      <c r="E55" s="164"/>
      <c r="F55" s="164"/>
      <c r="G55" s="164"/>
      <c r="H55" s="164"/>
      <c r="I55" s="139">
        <f>M42</f>
        <v>4575.323796472388</v>
      </c>
      <c r="J55" s="127" t="s">
        <v>32</v>
      </c>
    </row>
    <row r="56" spans="1:10" ht="9.75" customHeight="1">
      <c r="A56" s="137"/>
      <c r="B56" s="137"/>
      <c r="C56" s="137"/>
      <c r="D56" s="137"/>
      <c r="E56" s="137"/>
      <c r="F56" s="137"/>
      <c r="G56" s="137"/>
      <c r="H56" s="137"/>
      <c r="I56" s="139"/>
      <c r="J56" s="127"/>
    </row>
    <row r="57" spans="1:10" ht="17.25">
      <c r="A57" s="140"/>
      <c r="B57" s="164" t="s">
        <v>41</v>
      </c>
      <c r="C57" s="164"/>
      <c r="D57" s="164"/>
      <c r="E57" s="164"/>
      <c r="F57" s="164"/>
      <c r="G57" s="164"/>
      <c r="H57" s="164"/>
      <c r="I57" s="139">
        <f>I11+M42</f>
        <v>14575.323796472388</v>
      </c>
      <c r="J57" s="127" t="s">
        <v>32</v>
      </c>
    </row>
    <row r="58" spans="1:10" ht="9.75" customHeight="1">
      <c r="A58" s="140"/>
      <c r="B58" s="137"/>
      <c r="C58" s="137"/>
      <c r="D58" s="137"/>
      <c r="E58" s="137"/>
      <c r="F58" s="137"/>
      <c r="G58" s="137"/>
      <c r="H58" s="137"/>
      <c r="I58" s="139"/>
      <c r="J58" s="127"/>
    </row>
    <row r="59" spans="1:10" ht="17.25">
      <c r="A59" s="135"/>
      <c r="B59" s="164" t="s">
        <v>43</v>
      </c>
      <c r="C59" s="164"/>
      <c r="D59" s="164"/>
      <c r="E59" s="164"/>
      <c r="F59" s="164"/>
      <c r="G59" s="164"/>
      <c r="H59" s="164"/>
      <c r="I59" s="141">
        <f>L42</f>
        <v>0.6203874766826631</v>
      </c>
      <c r="J59" s="127"/>
    </row>
    <row r="60" spans="1:10" ht="45" customHeight="1">
      <c r="A60" s="75"/>
      <c r="B60" s="134"/>
      <c r="C60" s="134"/>
      <c r="D60" s="134"/>
      <c r="E60" s="134"/>
      <c r="F60" s="134"/>
      <c r="G60" s="126"/>
      <c r="H60" s="75"/>
      <c r="I60" s="128"/>
      <c r="J60" s="127"/>
    </row>
    <row r="61" spans="2:10" ht="120" customHeight="1">
      <c r="B61" s="166" t="s">
        <v>33</v>
      </c>
      <c r="C61" s="166"/>
      <c r="D61" s="166"/>
      <c r="E61" s="166"/>
      <c r="F61" s="166"/>
      <c r="G61" s="166"/>
      <c r="H61" s="166"/>
      <c r="I61" s="166"/>
      <c r="J61" s="166"/>
    </row>
    <row r="62" spans="2:10" ht="39.75" customHeight="1">
      <c r="B62" s="162" t="s">
        <v>38</v>
      </c>
      <c r="C62" s="163"/>
      <c r="D62" s="163"/>
      <c r="E62" s="163"/>
      <c r="F62" s="163"/>
      <c r="G62" s="163"/>
      <c r="H62" s="163"/>
      <c r="I62" s="163"/>
      <c r="J62" s="163"/>
    </row>
    <row r="63" spans="6:7" ht="18" hidden="1">
      <c r="F63" s="129"/>
      <c r="G63" s="130"/>
    </row>
    <row r="64" spans="2:7" ht="18" hidden="1">
      <c r="B64" s="130"/>
      <c r="C64" s="130"/>
      <c r="D64" s="130"/>
      <c r="E64" s="129"/>
      <c r="F64" s="129"/>
      <c r="G64" s="130"/>
    </row>
    <row r="65" spans="2:7" ht="18" hidden="1">
      <c r="B65" s="130"/>
      <c r="C65" s="130"/>
      <c r="D65" s="131"/>
      <c r="E65" s="130"/>
      <c r="F65" s="130"/>
      <c r="G65" s="132"/>
    </row>
    <row r="66" spans="2:7" ht="18" hidden="1">
      <c r="B66" s="130"/>
      <c r="C66" s="130"/>
      <c r="D66" s="133"/>
      <c r="E66" s="130"/>
      <c r="F66" s="130"/>
      <c r="G66" s="132"/>
    </row>
  </sheetData>
  <sheetProtection password="CC99" sheet="1" objects="1" scenarios="1" selectLockedCell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6">
    <mergeCell ref="B62:J62"/>
    <mergeCell ref="B51:H51"/>
    <mergeCell ref="B49:H49"/>
    <mergeCell ref="B57:H57"/>
    <mergeCell ref="B59:H59"/>
    <mergeCell ref="B61:J61"/>
    <mergeCell ref="B53:H53"/>
    <mergeCell ref="A55:H55"/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59 I57 I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2020-10-15T08:35:07Z</dcterms:modified>
  <cp:category/>
  <cp:version/>
  <cp:contentType/>
  <cp:contentStatus/>
</cp:coreProperties>
</file>