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8" i="1" l="1"/>
  <c r="C20" i="1" l="1"/>
  <c r="AE9" i="1" l="1"/>
  <c r="AE10" i="1"/>
  <c r="AE8" i="1"/>
  <c r="AC13" i="1"/>
  <c r="AC14" i="1"/>
  <c r="AC12" i="1"/>
  <c r="C21" i="1" l="1"/>
  <c r="C22" i="1"/>
  <c r="C23" i="1"/>
  <c r="AC10" i="1" l="1"/>
  <c r="C10" i="1" s="1"/>
  <c r="AC9" i="1"/>
  <c r="AC8" i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D23" i="1" s="1"/>
  <c r="W11" i="1"/>
  <c r="D8" i="1" s="1"/>
  <c r="D19" i="1"/>
  <c r="W14" i="1"/>
  <c r="D9" i="1" s="1"/>
  <c r="W29" i="1"/>
  <c r="W21" i="1"/>
  <c r="D11" i="1" l="1"/>
  <c r="F19" i="1"/>
  <c r="F7" i="1"/>
  <c r="H19" i="1"/>
  <c r="H7" i="1"/>
  <c r="D7" i="1"/>
  <c r="J11" i="4" s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4" i="4" l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<sst xmlns="http://schemas.openxmlformats.org/spreadsheetml/2006/main" count="123" uniqueCount="56">
  <si>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</si>
  <si>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</si>
  <si>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</si>
  <si>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</si>
  <si>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</si>
  <si>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</si>
  <si>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</si>
  <si>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</si>
  <si>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</si>
  <si>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</si>
  <si>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</si>
  <si>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</si>
  <si>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</si>
  <si>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</si>
  <si>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</si>
  <si>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</si>
  <si>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</si>
  <si>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</si>
  <si>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</si>
  <si>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</si>
  <si>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</si>
  <si>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</si>
  <si>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</si>
  <si>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</si>
  <si>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</si>
  <si>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</si>
  <si>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</si>
  <si>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</si>
  <si>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</si>
  <si>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</si>
  <si>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</si>
  <si>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</si>
  <si>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</si>
  <si>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</si>
  <si>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</si>
  <si>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</si>
  <si>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</si>
  <si>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</si>
  <si>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</si>
  <si>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</si>
  <si>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</si>
  <si>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</si>
  <si>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</si>
  <si>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</si>
  <si>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</si>
  <si>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</si>
  <si>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</si>
  <si>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</si>
  <si>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</si>
  <si>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</si>
  <si>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</si>
  <si>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</si>
  <si>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</si>
  <si>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відділення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</si>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</sst>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19" sqref="F1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399999999999999" x14ac:dyDescent="0.3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">
      <c r="A4" s="10"/>
      <c r="B4" s="80" t="s">
        <v>0</v>
      </c>
      <c r="C4" s="80"/>
      <c r="D4" s="80"/>
      <c r="E4" s="80"/>
      <c r="F4" s="80"/>
      <c r="G4" s="11"/>
      <c r="H4" s="82" t="s">
        <v>44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">
      <c r="A5" s="10"/>
      <c r="B5" s="80" t="s">
        <v>1</v>
      </c>
      <c r="C5" s="80"/>
      <c r="D5" s="80"/>
      <c r="E5" s="80"/>
      <c r="F5" s="80"/>
      <c r="G5" s="11"/>
      <c r="H5" s="76" t="s">
        <v>37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">
      <c r="A7" s="10"/>
      <c r="B7" s="80" t="s">
        <v>2</v>
      </c>
      <c r="C7" s="80"/>
      <c r="D7" s="80"/>
      <c r="E7" s="80"/>
      <c r="F7" s="80"/>
      <c r="G7" s="11"/>
      <c r="H7" s="76" t="s">
        <v>46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35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35">
      <c r="A9" s="10"/>
      <c r="B9" s="56" t="s">
        <v>24</v>
      </c>
      <c r="C9" s="56"/>
      <c r="D9" s="56"/>
      <c r="E9" s="23"/>
      <c r="F9" s="14">
        <v>50000</v>
      </c>
      <c r="G9" s="24"/>
      <c r="H9" s="84" t="s">
        <v>50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0.09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">
      <c r="A11" s="10"/>
      <c r="B11" s="56" t="s">
        <v>18</v>
      </c>
      <c r="C11" s="56"/>
      <c r="D11" s="56"/>
      <c r="E11" s="13"/>
      <c r="F11" s="14" t="s">
        <v>28</v>
      </c>
      <c r="G11" s="15"/>
      <c r="H11" s="59" t="s">
        <v>48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4475.3424657534242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6" t="s">
        <v>47</v>
      </c>
      <c r="C13" s="56"/>
      <c r="D13" s="56"/>
      <c r="E13" s="13"/>
      <c r="F13" s="14" t="s">
        <v>53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7"/>
      <c r="C14" s="57"/>
      <c r="D14" s="57"/>
      <c r="E14" s="17"/>
      <c r="F14" s="18"/>
      <c r="G14" s="15"/>
      <c r="H14" s="65" t="s">
        <v>49</v>
      </c>
      <c r="I14" s="66"/>
      <c r="J14" s="67">
        <f>J11-(J11*19.5%)</f>
        <v>3602.6506849315065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">
      <c r="A15" s="10"/>
      <c r="B15" s="56" t="s">
        <v>15</v>
      </c>
      <c r="C15" s="56"/>
      <c r="D15" s="56"/>
      <c r="E15" s="13"/>
      <c r="F15" s="14" t="s">
        <v>29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6" thickBot="1" x14ac:dyDescent="0.35">
      <c r="A17" s="10"/>
      <c r="B17" s="55" t="s">
        <v>0</v>
      </c>
      <c r="C17" s="55"/>
      <c r="D17" s="55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17"/>
      <c r="F18" s="18"/>
      <c r="G18" s="15"/>
      <c r="H18" s="65" t="s">
        <v>51</v>
      </c>
      <c r="I18" s="66"/>
      <c r="J18" s="67">
        <f>J11-J14</f>
        <v>872.69178082191775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">
      <c r="A19" s="10"/>
      <c r="B19" s="55" t="s">
        <v>19</v>
      </c>
      <c r="C19" s="55"/>
      <c r="D19" s="55"/>
      <c r="E19" s="13"/>
      <c r="F19" s="14">
        <v>12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.2" thickBot="1" x14ac:dyDescent="0.35">
      <c r="A21" s="10"/>
      <c r="B21" s="55" t="s">
        <v>14</v>
      </c>
      <c r="C21" s="55"/>
      <c r="D21" s="55"/>
      <c r="E21" s="13"/>
      <c r="F21" s="21">
        <v>44183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49" t="s">
        <v>52</v>
      </c>
      <c r="I22" s="49"/>
      <c r="J22" s="50">
        <f>((J14/F9)/VLOOKUP(F19,Лист1!T6:W24,4,0)*Лист1!W18)</f>
        <v>7.2053013698630125E-2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2" t="s">
        <v>54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5" t="s">
        <v>55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8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AA11" sqref="AA11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">
      <c r="A3" s="96"/>
      <c r="B3" s="104"/>
      <c r="C3" s="93" t="s">
        <v>42</v>
      </c>
      <c r="D3" s="93"/>
      <c r="E3" s="93"/>
      <c r="F3" s="93"/>
      <c r="G3" s="93"/>
      <c r="H3" s="93"/>
      <c r="I3" s="93" t="s">
        <v>43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44183</v>
      </c>
      <c r="X5" s="44"/>
    </row>
    <row r="6" spans="1:32" x14ac:dyDescent="0.3">
      <c r="A6" s="2" t="s">
        <v>38</v>
      </c>
      <c r="B6" s="2">
        <v>1</v>
      </c>
      <c r="C6" s="3">
        <v>0.06</v>
      </c>
      <c r="D6" s="5">
        <f>Калькулятор!F9*Лист1!C6/365*(V6-2)</f>
        <v>238.35616438356166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44214</v>
      </c>
      <c r="V6">
        <f>U6-U5</f>
        <v>31</v>
      </c>
      <c r="W6">
        <f>V6-V5</f>
        <v>31</v>
      </c>
      <c r="AA6" s="89" t="s">
        <v>35</v>
      </c>
      <c r="AB6" s="89"/>
      <c r="AC6" s="88" t="s">
        <v>36</v>
      </c>
      <c r="AD6" s="88"/>
      <c r="AE6" s="88" t="s">
        <v>32</v>
      </c>
      <c r="AF6" s="88"/>
    </row>
    <row r="7" spans="1:32" x14ac:dyDescent="0.3">
      <c r="A7" s="2" t="s">
        <v>39</v>
      </c>
      <c r="B7" s="2">
        <v>3</v>
      </c>
      <c r="C7" s="3">
        <v>0.08</v>
      </c>
      <c r="D7" s="5">
        <f>Калькулятор!$F$9*Лист1!C7/365*(W8-2)</f>
        <v>964.38356164383561</v>
      </c>
      <c r="E7" s="3">
        <v>2.5000000000000001E-3</v>
      </c>
      <c r="F7" s="5">
        <f>Калькулятор!$F$9*Лист1!E7/365*(W8-2)</f>
        <v>30.136986301369863</v>
      </c>
      <c r="G7" s="3">
        <v>2.5000000000000001E-3</v>
      </c>
      <c r="H7" s="5">
        <f>Калькулятор!$F$9*Лист1!G7/365*(W8-2)</f>
        <v>30.136986301369863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44245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>
        <f>IF(Калькулятор!$F$9&gt;=100000,AC8,AA8)</f>
        <v>8.2500000000000004E-2</v>
      </c>
      <c r="D8" s="5">
        <f>(Калькулятор!$F$9*Лист1!C8/365*(W11-2))</f>
        <v>2034.2465753424658</v>
      </c>
      <c r="E8" s="3">
        <v>5.0000000000000001E-3</v>
      </c>
      <c r="F8" s="5">
        <f>Калькулятор!$F$9*Лист1!E8/365*(W11-2)</f>
        <v>123.2876712328767</v>
      </c>
      <c r="G8" s="3">
        <v>3.5000000000000001E-3</v>
      </c>
      <c r="H8" s="5">
        <f>Калькулятор!$F$9*Лист1!G8/365*(W11-2)</f>
        <v>86.30136986301369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44273</v>
      </c>
      <c r="V8">
        <f t="shared" si="1"/>
        <v>28</v>
      </c>
      <c r="W8">
        <f>SUM(V6:V8)</f>
        <v>90</v>
      </c>
      <c r="Z8" s="33">
        <v>6</v>
      </c>
      <c r="AA8" s="3">
        <v>8.2500000000000004E-2</v>
      </c>
      <c r="AB8" s="3"/>
      <c r="AC8" s="32">
        <f>IF(Калькулятор!$F$9&gt;=500000,AE8,AC12)</f>
        <v>8.5000000000000006E-2</v>
      </c>
      <c r="AD8" s="32"/>
      <c r="AE8" s="32">
        <f>AA8+0.5%</f>
        <v>8.7500000000000008E-2</v>
      </c>
      <c r="AF8" s="32"/>
    </row>
    <row r="9" spans="1:32" x14ac:dyDescent="0.3">
      <c r="A9" s="2" t="s">
        <v>41</v>
      </c>
      <c r="B9" s="2">
        <v>9</v>
      </c>
      <c r="C9" s="3">
        <f>IF(Калькулятор!$F$9&gt;=100000,AC9,AA9)</f>
        <v>0.09</v>
      </c>
      <c r="D9" s="5">
        <f>Калькулятор!$F$9*Лист1!C9/365*(W14-2)</f>
        <v>3353.4246575342463</v>
      </c>
      <c r="E9" s="3">
        <v>0.01</v>
      </c>
      <c r="F9" s="5">
        <f>Калькулятор!$F$9*Лист1!E9/365*(W14-2)</f>
        <v>372.60273972602738</v>
      </c>
      <c r="G9" s="3">
        <v>4.0000000000000001E-3</v>
      </c>
      <c r="H9" s="5">
        <f>Калькулятор!$F$9*Лист1!G9/365*(W14-2)</f>
        <v>149.04109589041096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44304</v>
      </c>
      <c r="V9">
        <f t="shared" si="1"/>
        <v>31</v>
      </c>
      <c r="Z9" s="33">
        <v>9</v>
      </c>
      <c r="AA9" s="3">
        <v>0.09</v>
      </c>
      <c r="AB9" s="3"/>
      <c r="AC9" s="32">
        <f>IF(Калькулятор!$F$9&gt;=500000,AE9,AC13)</f>
        <v>9.2499999999999999E-2</v>
      </c>
      <c r="AD9" s="32"/>
      <c r="AE9" s="32">
        <f t="shared" ref="AE9:AE10" si="2">AA9+0.5%</f>
        <v>9.5000000000000001E-2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0.09</v>
      </c>
      <c r="D10" s="5">
        <f>Калькулятор!$F$9*Лист1!C10/365*(W18-2)</f>
        <v>4475.3424657534242</v>
      </c>
      <c r="E10" s="3">
        <v>0.01</v>
      </c>
      <c r="F10" s="5">
        <f>Калькулятор!$F$9*Лист1!E10/365*(W18-2)</f>
        <v>497.2602739726027</v>
      </c>
      <c r="G10" s="3">
        <v>5.0000000000000001E-3</v>
      </c>
      <c r="H10" s="5">
        <f>Калькулятор!$F$9*Лист1!G10/365*(W18-2)</f>
        <v>248.63013698630135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44334</v>
      </c>
      <c r="V10">
        <f t="shared" si="1"/>
        <v>30</v>
      </c>
      <c r="Z10" s="33">
        <v>12</v>
      </c>
      <c r="AA10" s="3">
        <v>0.09</v>
      </c>
      <c r="AB10" s="3"/>
      <c r="AC10" s="32">
        <f>IF(Калькулятор!$F$9&gt;=500000,AE10,AC14)</f>
        <v>9.2499999999999999E-2</v>
      </c>
      <c r="AD10" s="32"/>
      <c r="AE10" s="32">
        <f t="shared" si="2"/>
        <v>9.5000000000000001E-2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5599.3150684931506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44365</v>
      </c>
      <c r="V11">
        <f t="shared" si="1"/>
        <v>31</v>
      </c>
      <c r="W11">
        <f>SUM(V6:V11)</f>
        <v>182</v>
      </c>
      <c r="AC11" s="88" t="s">
        <v>31</v>
      </c>
      <c r="AD11" s="88"/>
    </row>
    <row r="12" spans="1:32" ht="15" customHeight="1" x14ac:dyDescent="0.3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44395</v>
      </c>
      <c r="V12">
        <f>U12-U11</f>
        <v>30</v>
      </c>
      <c r="AC12" s="32">
        <f>AA8+0.25%</f>
        <v>8.5000000000000006E-2</v>
      </c>
      <c r="AD12" s="32"/>
      <c r="AE12" s="32"/>
      <c r="AF12" s="32"/>
    </row>
    <row r="13" spans="1:32" x14ac:dyDescent="0.3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44426</v>
      </c>
      <c r="V13">
        <f t="shared" si="1"/>
        <v>31</v>
      </c>
      <c r="AC13" s="32">
        <f t="shared" ref="AC13:AC14" si="3">AA9+0.25%</f>
        <v>9.2499999999999999E-2</v>
      </c>
      <c r="AD13" s="32"/>
      <c r="AE13" s="32"/>
      <c r="AF13" s="32"/>
    </row>
    <row r="14" spans="1:32" x14ac:dyDescent="0.3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44457</v>
      </c>
      <c r="V14">
        <f t="shared" si="1"/>
        <v>31</v>
      </c>
      <c r="W14">
        <f>SUM(V6:V14)</f>
        <v>274</v>
      </c>
      <c r="AC14" s="32">
        <f t="shared" si="3"/>
        <v>9.2499999999999999E-2</v>
      </c>
      <c r="AD14" s="32"/>
      <c r="AE14" s="32"/>
      <c r="AF14" s="32"/>
    </row>
    <row r="15" spans="1:32" x14ac:dyDescent="0.3">
      <c r="A15" s="96"/>
      <c r="B15" s="104"/>
      <c r="C15" s="93" t="s">
        <v>42</v>
      </c>
      <c r="D15" s="93"/>
      <c r="E15" s="93"/>
      <c r="F15" s="93"/>
      <c r="G15" s="93"/>
      <c r="H15" s="93"/>
      <c r="I15" s="93" t="s">
        <v>43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4">EDATE($U$5,T15)</f>
        <v>44487</v>
      </c>
      <c r="AC15" s="31"/>
      <c r="AD15" s="31"/>
      <c r="AE15" s="31"/>
      <c r="AF15" s="31"/>
    </row>
    <row r="16" spans="1:32" x14ac:dyDescent="0.3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4"/>
        <v>44518</v>
      </c>
      <c r="V16">
        <f>U16-U14</f>
        <v>61</v>
      </c>
    </row>
    <row r="17" spans="1:23" ht="28.8" x14ac:dyDescent="0.3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44548</v>
      </c>
      <c r="V17">
        <f t="shared" si="1"/>
        <v>30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258.21917808219177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44579</v>
      </c>
      <c r="V18">
        <f t="shared" si="1"/>
        <v>31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>
        <f>C7+0.5%</f>
        <v>8.5000000000000006E-2</v>
      </c>
      <c r="D19" s="5">
        <f>Калькулятор!$F$9*Лист1!C19/365*(W8-2)</f>
        <v>1024.6575342465753</v>
      </c>
      <c r="E19" s="3">
        <f>E7</f>
        <v>2.5000000000000001E-3</v>
      </c>
      <c r="F19" s="5">
        <f>Калькулятор!$F$9*Лист1!E19/365*(W8-2)</f>
        <v>30.136986301369863</v>
      </c>
      <c r="G19" s="3">
        <f>G7</f>
        <v>2.5000000000000001E-3</v>
      </c>
      <c r="H19" s="5">
        <f>Калькулятор!$F$9*Лист1!G19/365*(W8-2)</f>
        <v>30.136986301369863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44610</v>
      </c>
      <c r="V19">
        <f t="shared" si="1"/>
        <v>31</v>
      </c>
    </row>
    <row r="20" spans="1:23" x14ac:dyDescent="0.3">
      <c r="A20" s="2" t="s">
        <v>40</v>
      </c>
      <c r="B20" s="2">
        <v>6</v>
      </c>
      <c r="C20" s="3">
        <f>AA8+0.5%</f>
        <v>8.7500000000000008E-2</v>
      </c>
      <c r="D20" s="5">
        <f>Калькулятор!$F$9*Лист1!C20/365*(W11-2)</f>
        <v>2157.5342465753424</v>
      </c>
      <c r="E20" s="3">
        <f>E8</f>
        <v>5.0000000000000001E-3</v>
      </c>
      <c r="F20" s="5">
        <f>Калькулятор!$F$9*Лист1!E20/365*(W11-2)</f>
        <v>123.2876712328767</v>
      </c>
      <c r="G20" s="3">
        <f>G8</f>
        <v>3.5000000000000001E-3</v>
      </c>
      <c r="H20" s="5">
        <f>Калькулятор!$F$9*Лист1!G20/365*(W11-2)</f>
        <v>86.30136986301369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44638</v>
      </c>
      <c r="V20">
        <f t="shared" si="1"/>
        <v>28</v>
      </c>
    </row>
    <row r="21" spans="1:23" x14ac:dyDescent="0.3">
      <c r="A21" s="2" t="s">
        <v>41</v>
      </c>
      <c r="B21" s="2">
        <v>9</v>
      </c>
      <c r="C21" s="3">
        <f t="shared" ref="C21:C22" si="5">AA9+0.5%</f>
        <v>9.5000000000000001E-2</v>
      </c>
      <c r="D21" s="5">
        <f>Калькулятор!$F$9*Лист1!C21/365*(W14-2)</f>
        <v>3539.7260273972602</v>
      </c>
      <c r="E21" s="3">
        <f>E9</f>
        <v>0.01</v>
      </c>
      <c r="F21" s="5">
        <f>Калькулятор!$F$9*Лист1!E21/365*(W14-2)</f>
        <v>372.60273972602738</v>
      </c>
      <c r="G21" s="3">
        <f>G9</f>
        <v>4.0000000000000001E-3</v>
      </c>
      <c r="H21" s="5">
        <f>Калькулятор!$F$9*Лист1!G21/365*(W14-2)</f>
        <v>149.04109589041096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44669</v>
      </c>
      <c r="V21">
        <f t="shared" si="1"/>
        <v>31</v>
      </c>
      <c r="W21">
        <f>SUM(V6:V21)</f>
        <v>486</v>
      </c>
    </row>
    <row r="22" spans="1:23" x14ac:dyDescent="0.3">
      <c r="A22" s="2" t="s">
        <v>5</v>
      </c>
      <c r="B22" s="2">
        <v>12</v>
      </c>
      <c r="C22" s="3">
        <f t="shared" si="5"/>
        <v>9.5000000000000001E-2</v>
      </c>
      <c r="D22" s="5">
        <f>Калькулятор!$F$9*Лист1!C22/365*(W18-2)</f>
        <v>4723.9726027397255</v>
      </c>
      <c r="E22" s="3">
        <f>E10</f>
        <v>0.01</v>
      </c>
      <c r="F22" s="5">
        <f>Калькулятор!$F$9*Лист1!E22/365*(W18-2)</f>
        <v>497.2602739726027</v>
      </c>
      <c r="G22" s="3">
        <f>G10</f>
        <v>5.0000000000000001E-3</v>
      </c>
      <c r="H22" s="5">
        <f>Калькулятор!$F$9*Лист1!G22/365*(W18-2)</f>
        <v>248.63013698630135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44699</v>
      </c>
      <c r="V22">
        <f t="shared" si="1"/>
        <v>30</v>
      </c>
    </row>
    <row r="23" spans="1:23" x14ac:dyDescent="0.3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5972.6027397260268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44730</v>
      </c>
      <c r="V23">
        <f t="shared" si="1"/>
        <v>31</v>
      </c>
      <c r="W23">
        <f>SUM(V5:V23)</f>
        <v>547</v>
      </c>
    </row>
    <row r="24" spans="1:23" x14ac:dyDescent="0.3">
      <c r="T24">
        <v>19</v>
      </c>
      <c r="U24" s="1">
        <f t="shared" si="4"/>
        <v>44760</v>
      </c>
      <c r="V24">
        <f t="shared" si="1"/>
        <v>30</v>
      </c>
      <c r="W24">
        <f>SUM(V6:V23)</f>
        <v>547</v>
      </c>
    </row>
    <row r="25" spans="1:23" x14ac:dyDescent="0.3">
      <c r="T25">
        <v>20</v>
      </c>
      <c r="U25" s="1">
        <f t="shared" si="4"/>
        <v>44791</v>
      </c>
      <c r="V25">
        <f t="shared" si="1"/>
        <v>31</v>
      </c>
    </row>
    <row r="26" spans="1:23" x14ac:dyDescent="0.3">
      <c r="T26">
        <v>21</v>
      </c>
      <c r="U26" s="1">
        <f t="shared" si="4"/>
        <v>44822</v>
      </c>
      <c r="V26">
        <f t="shared" si="1"/>
        <v>31</v>
      </c>
    </row>
    <row r="27" spans="1:23" x14ac:dyDescent="0.3">
      <c r="T27">
        <v>22</v>
      </c>
      <c r="U27" s="1">
        <f t="shared" si="4"/>
        <v>44852</v>
      </c>
      <c r="V27">
        <f t="shared" si="1"/>
        <v>30</v>
      </c>
    </row>
    <row r="28" spans="1:23" x14ac:dyDescent="0.3">
      <c r="T28">
        <v>23</v>
      </c>
      <c r="U28" s="1">
        <f t="shared" si="4"/>
        <v>44883</v>
      </c>
      <c r="V28">
        <f t="shared" si="1"/>
        <v>31</v>
      </c>
    </row>
    <row r="29" spans="1:23" x14ac:dyDescent="0.3">
      <c r="T29">
        <v>24</v>
      </c>
      <c r="U29" s="1">
        <f t="shared" si="4"/>
        <v>44913</v>
      </c>
      <c r="V29">
        <f t="shared" si="1"/>
        <v>30</v>
      </c>
      <c r="W29">
        <f>SUM(V6:V29)</f>
        <v>730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2020-12-17T12:29:04Z</dcterms:modified>
</cp:coreProperties>
</file>