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948" yWindow="1260" windowWidth="14808" windowHeight="8016"/>
  </bookViews>
  <sheets>
    <sheet name="Калькулятор" sheetId="4" r:id="rId1"/>
    <sheet name="розрахунок" sheetId="1" state="hidden" r:id="rId2"/>
  </sheets>
  <calcPr calcId="145621"/>
</workbook>
</file>

<file path=xl/calcChain.xml><?xml version="1.0" encoding="utf-8"?>
<calcChain xmlns="http://schemas.openxmlformats.org/spreadsheetml/2006/main">
  <c r="AF9" i="1" l="1"/>
  <c r="AF10" i="1"/>
  <c r="AF8" i="1"/>
  <c r="AD13" i="1"/>
  <c r="AD14" i="1"/>
  <c r="AD12" i="1"/>
  <c r="I23" i="1" l="1"/>
  <c r="M22" i="1"/>
  <c r="K22" i="1"/>
  <c r="I22" i="1"/>
  <c r="M21" i="1"/>
  <c r="K21" i="1"/>
  <c r="I21" i="1"/>
  <c r="M20" i="1"/>
  <c r="K20" i="1"/>
  <c r="I20" i="1"/>
  <c r="M19" i="1"/>
  <c r="K19" i="1"/>
  <c r="I19" i="1"/>
  <c r="AD9" i="1" l="1"/>
  <c r="I9" i="1" s="1"/>
  <c r="AD10" i="1"/>
  <c r="I10" i="1" s="1"/>
  <c r="AD8" i="1"/>
  <c r="I8" i="1" s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8" i="1" l="1"/>
  <c r="W21" i="1"/>
  <c r="W24" i="1"/>
  <c r="W17" i="1"/>
  <c r="W11" i="1"/>
  <c r="W23" i="1"/>
  <c r="W14" i="1"/>
  <c r="W18" i="1"/>
  <c r="W29" i="1"/>
  <c r="N9" i="1" l="1"/>
  <c r="L9" i="1"/>
  <c r="J21" i="1"/>
  <c r="N21" i="1"/>
  <c r="L21" i="1"/>
  <c r="J9" i="1"/>
  <c r="L20" i="1"/>
  <c r="N8" i="1"/>
  <c r="L8" i="1"/>
  <c r="J20" i="1"/>
  <c r="N20" i="1"/>
  <c r="J8" i="1"/>
  <c r="J23" i="1"/>
  <c r="J11" i="1"/>
  <c r="N7" i="1"/>
  <c r="L7" i="1"/>
  <c r="J7" i="1"/>
  <c r="J19" i="1"/>
  <c r="N19" i="1"/>
  <c r="L19" i="1"/>
  <c r="J22" i="1"/>
  <c r="L22" i="1"/>
  <c r="N10" i="1"/>
  <c r="L10" i="1"/>
  <c r="N22" i="1"/>
  <c r="J10" i="1"/>
  <c r="J11" i="4" s="1"/>
  <c r="J14" i="4" l="1"/>
  <c r="J22" i="4" s="1"/>
  <c r="J18" i="4" l="1"/>
</calcChain>
</file>

<file path=xl/sharedStrings.xml><?xml version="1.0" encoding="utf-8"?>
<sst xmlns="http://schemas.openxmlformats.org/spreadsheetml/2006/main" count="122" uniqueCount="55">
  <si>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</si>
  <si>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</si>
  <si>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</si>
  <si>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</si>
  <si>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</si>
  <si>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</si>
  <si>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</si>
  <si>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</si>
  <si>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</si>
  <si>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</si>
  <si>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</si>
  <si>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</si>
  <si>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</si>
  <si>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</si>
  <si>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</si>
  <si>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</si>
  <si>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</si>
  <si>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</si>
  <si>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</si>
  <si>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</si>
  <si>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</si>
  <si>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</si>
  <si>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</si>
  <si>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</si>
  <si>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</si>
  <si>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</si>
  <si>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</si>
  <si>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</si>
  <si>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</si>
  <si>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</si>
  <si>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</si>
  <si>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</si>
  <si>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</si>
  <si>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</si>
  <si>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</si>
  <si>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</si>
  <si>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</si>
  <si>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</si>
  <si>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</si>
  <si>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</si>
  <si>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</si>
  <si>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</si>
  <si>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</si>
  <si>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</si>
  <si>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</si>
  <si>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</si>
  <si>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</si>
  <si>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</si>
  <si>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</si>
  <si>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</si>
  <si>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</si>
  <si>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КАЛЬКУЛЯТОР ПО ДЕПОЗИТУ "КЛАСИЧНИЙ"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</si>
  <si>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</si>
  <si>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додаткові та супутні послуги, грн</t>
  </si>
  <si>
    <t>інтернет-банкінг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</si>
</sst>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 vertical="center"/>
    </xf>
    <xf numFmtId="0" fontId="16" fillId="10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3" zoomScaleNormal="93" workbookViewId="0">
      <selection activeCell="F13" sqref="F13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</cols>
  <sheetData>
    <row r="1" spans="1:18" ht="35.25" customHeight="1" x14ac:dyDescent="0.3">
      <c r="A1" s="10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399999999999999" x14ac:dyDescent="0.3">
      <c r="A2" s="10"/>
      <c r="B2" s="81" t="s">
        <v>20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0"/>
      <c r="P2" s="10"/>
      <c r="Q2" s="10"/>
      <c r="R2" s="10"/>
    </row>
    <row r="3" spans="1:18" x14ac:dyDescent="0.3">
      <c r="A3" s="10"/>
      <c r="B3" s="82" t="s">
        <v>18</v>
      </c>
      <c r="C3" s="82"/>
      <c r="D3" s="82"/>
      <c r="E3" s="82"/>
      <c r="F3" s="82"/>
      <c r="G3" s="15"/>
      <c r="H3" s="83" t="s">
        <v>21</v>
      </c>
      <c r="I3" s="83"/>
      <c r="J3" s="83"/>
      <c r="K3" s="83"/>
      <c r="L3" s="83"/>
      <c r="M3" s="83"/>
      <c r="N3" s="83"/>
      <c r="O3" s="10"/>
      <c r="P3" s="10"/>
      <c r="Q3" s="10"/>
      <c r="R3" s="10"/>
    </row>
    <row r="4" spans="1:18" x14ac:dyDescent="0.3">
      <c r="A4" s="10"/>
      <c r="B4" s="82" t="s">
        <v>0</v>
      </c>
      <c r="C4" s="82"/>
      <c r="D4" s="82"/>
      <c r="E4" s="82"/>
      <c r="F4" s="82"/>
      <c r="G4" s="14"/>
      <c r="H4" s="84" t="s">
        <v>34</v>
      </c>
      <c r="I4" s="84"/>
      <c r="J4" s="84"/>
      <c r="K4" s="84"/>
      <c r="L4" s="84"/>
      <c r="M4" s="84"/>
      <c r="N4" s="84"/>
      <c r="O4" s="10"/>
      <c r="P4" s="10"/>
      <c r="Q4" s="10"/>
      <c r="R4" s="10"/>
    </row>
    <row r="5" spans="1:18" x14ac:dyDescent="0.3">
      <c r="A5" s="10"/>
      <c r="B5" s="82" t="s">
        <v>1</v>
      </c>
      <c r="C5" s="82"/>
      <c r="D5" s="82"/>
      <c r="E5" s="82"/>
      <c r="F5" s="82"/>
      <c r="G5" s="14"/>
      <c r="H5" s="79" t="s">
        <v>37</v>
      </c>
      <c r="I5" s="79"/>
      <c r="J5" s="79"/>
      <c r="K5" s="79"/>
      <c r="L5" s="79"/>
      <c r="M5" s="79"/>
      <c r="N5" s="79"/>
      <c r="O5" s="10"/>
      <c r="P5" s="10"/>
      <c r="Q5" s="10"/>
      <c r="R5" s="10"/>
    </row>
    <row r="6" spans="1:18" x14ac:dyDescent="0.3">
      <c r="A6" s="10"/>
      <c r="B6" s="82" t="s">
        <v>3</v>
      </c>
      <c r="C6" s="82"/>
      <c r="D6" s="82"/>
      <c r="E6" s="82"/>
      <c r="F6" s="82"/>
      <c r="G6" s="14"/>
      <c r="H6" s="79" t="s">
        <v>22</v>
      </c>
      <c r="I6" s="79"/>
      <c r="J6" s="79"/>
      <c r="K6" s="79"/>
      <c r="L6" s="79"/>
      <c r="M6" s="79"/>
      <c r="N6" s="79"/>
      <c r="O6" s="10"/>
      <c r="P6" s="10"/>
      <c r="Q6" s="10"/>
      <c r="R6" s="10"/>
    </row>
    <row r="7" spans="1:18" x14ac:dyDescent="0.3">
      <c r="A7" s="10"/>
      <c r="B7" s="82" t="s">
        <v>2</v>
      </c>
      <c r="C7" s="82"/>
      <c r="D7" s="82"/>
      <c r="E7" s="82"/>
      <c r="F7" s="82"/>
      <c r="G7" s="14"/>
      <c r="H7" s="79" t="s">
        <v>44</v>
      </c>
      <c r="I7" s="79"/>
      <c r="J7" s="79"/>
      <c r="K7" s="79"/>
      <c r="L7" s="79"/>
      <c r="M7" s="79"/>
      <c r="N7" s="79"/>
      <c r="O7" s="10"/>
      <c r="P7" s="10"/>
      <c r="Q7" s="32"/>
      <c r="R7" s="10"/>
    </row>
    <row r="8" spans="1:18" ht="18" thickBot="1" x14ac:dyDescent="0.35">
      <c r="A8" s="10"/>
      <c r="B8" s="81" t="s">
        <v>23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10"/>
      <c r="P8" s="10"/>
      <c r="Q8" s="10"/>
      <c r="R8" s="10"/>
    </row>
    <row r="9" spans="1:18" ht="23.25" customHeight="1" thickBot="1" x14ac:dyDescent="0.35">
      <c r="A9" s="10"/>
      <c r="B9" s="59" t="s">
        <v>24</v>
      </c>
      <c r="C9" s="59"/>
      <c r="D9" s="59"/>
      <c r="E9" s="26"/>
      <c r="F9" s="17">
        <v>50000</v>
      </c>
      <c r="G9" s="27"/>
      <c r="H9" s="86" t="s">
        <v>48</v>
      </c>
      <c r="I9" s="87"/>
      <c r="J9" s="88">
        <f>IF(AND($F$17="в кінці терміну",$F$15="ні",$F$13="відділення",$F$11="гривня"),VLOOKUP($F$19,розрахунок!$B$6:$R$11,2,0),IF(AND($F$17="в кінці терміну",$F$15="ні",$F$13="відділення",$F$11="долар США"),VLOOKUP($F$19,розрахунок!$B$6:$R$11,4,0),IF(AND($F$17="в кінці терміну",$F$15="ні",$F$13="відділення",$F$11="євро"),VLOOKUP($F$19,розрахунок!$B$6:$R$11,6,0),IF(AND($F$17="щомісячно",$F$15="ні",$F$13="відділення",$F$11="гривня"),VLOOKUP($F$19,розрахунок!$B$6:$R$11,8,0),IF(AND($F$17="щомісячно",$F$15="ні",$F$13="відділення",$F$11="долар США"),VLOOKUP($F$19,розрахунок!$B$6:$R$11,10,0),IF(AND($F$17="щомісячно",$F$15="ні",$F$13="відділення",$F$11="євро"),VLOOKUP($F$19,розрахунок!$B$6:$R$11,12,0),IF(AND($F$17="в кінці терміну",$F$15="так",$F$13="відділення",$F$11="гривня"),VLOOKUP($F$19,розрахунок!$B$6:$R$11,14,0),IF(AND($F$17="щомісячно",$F$15="так",$F$13="відділення",$F$11="гривня"),VLOOKUP($F$19,розрахунок!$B$6:$R$11,16,0),IF(AND($F$17="в кінці терміну",$F$15="ні",$F$13="інтернет-банкінг",$F$11="гривня"),VLOOKUP($F$19,розрахунок!$B$18:$R$23,2,0),IF(AND($F$17="в кінці терміну",$F$15="ні",$F$13="інтернет-банкінг",$F$11="долар США"),VLOOKUP($F$19,розрахунок!$B$18:$R$23,4,0),IF(AND($F$17="в кінці терміну",$F$15="ні",$F$13="інтернет-банкінг",$F$11="євро"),VLOOKUP($F$19,розрахунок!$B$18:$R$23,6,0),IF(AND($F$17="щомісячно",$F$15="ні",$F$13="інтернет-банкінг",$F$11="гривня"),VLOOKUP($F$19,розрахунок!$B$18:$R$23,8,0),IF(AND($F$17="щомісячно",$F$15="ні",$F$13="інтернет-банкінг",$F$11="долар США"),VLOOKUP($F$19,розрахунок!$B$18:$R$23,10,0),IF(AND($F$17="щомісячно",$F$15="ні",$F$13="інтернет-банкінг",$F$11="євро"),VLOOKUP($F$19,розрахунок!$B$18:$R$23,12,0),IF(AND($F$17="в кінці терміну",$F$15="так",$F$13="інтернет-банкінг",$F$11="гривня"),VLOOKUP($F$19,розрахунок!$B$18:$R$23,14,0),IF(AND($F$17="щомісячно",$F$15="так",$F$13="інтернет-банкінг",$F$11="гривня"),VLOOKUP($F$19,розрахунок!$B$18:$R$23,16,0),0))))))))))))))))</f>
        <v>9.2499999999999999E-2</v>
      </c>
      <c r="K9" s="89"/>
      <c r="L9" s="85"/>
      <c r="M9" s="85"/>
      <c r="N9" s="85"/>
      <c r="O9" s="10"/>
      <c r="P9" s="10"/>
      <c r="Q9" s="10"/>
      <c r="R9" s="10"/>
    </row>
    <row r="10" spans="1:18" ht="5.25" customHeight="1" thickBot="1" x14ac:dyDescent="0.35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80"/>
      <c r="M10" s="80"/>
      <c r="N10" s="80"/>
      <c r="O10" s="10"/>
      <c r="P10" s="10"/>
      <c r="Q10" s="10"/>
      <c r="R10" s="10"/>
    </row>
    <row r="11" spans="1:18" ht="15.75" customHeight="1" x14ac:dyDescent="0.3">
      <c r="A11" s="10"/>
      <c r="B11" s="59" t="s">
        <v>18</v>
      </c>
      <c r="C11" s="59"/>
      <c r="D11" s="59"/>
      <c r="E11" s="16"/>
      <c r="F11" s="17" t="s">
        <v>28</v>
      </c>
      <c r="G11" s="18"/>
      <c r="H11" s="62" t="s">
        <v>46</v>
      </c>
      <c r="I11" s="63"/>
      <c r="J11" s="64">
        <f>IF(AND($F$17="в кінці терміну",$F$15="ні",$F$13="відділення",$F$11="гривня"),VLOOKUP($F$19,розрахунок!$B$6:$R$11,3,0),IF(AND($F$17="в кінці терміну",$F$15="ні",$F$13="відділення",$F$11="долар США"),VLOOKUP($F$19,розрахунок!$B$6:$R$11,5,0),IF(AND($F$17="в кінці терміну",$F$15="ні",$F$13="відділення",$F$11="євро"),VLOOKUP($F$19,розрахунок!$B$6:$R$11,7,0),IF(AND($F$17="щомісячно",$F$15="ні",$F$13="відділення",$F$11="гривня"),VLOOKUP($F$19,розрахунок!$B$6:$R$11,9,0),IF(AND($F$17="щомісячно",$F$15="ні",$F$13="відділення",$F$11="долар США"),VLOOKUP($F$19,розрахунок!$B$6:$R$11,11,0),IF(AND($F$17="щомісячно",$F$15="ні",$F$13="відділення",$F$11="євро"),VLOOKUP($F$19,розрахунок!$B$6:$R$11,13,0),IF(AND($F$17="в кінці терміну",$F$15="так",$F$13="відділення",$F$11="гривня"),VLOOKUP($F$19,розрахунок!$B$6:$R$11,15,0),IF(AND($F$17="щомісячно",$F$15="так",$F$13="відділення",$F$11="гривня"),VLOOKUP($F$19,розрахунок!$B$6:$R$11,17,0),IF(AND($F$17="в кінці терміну",$F$15="ні",$F$13="інтернет-банкінг",$F$11="гривня"),VLOOKUP($F$19,розрахунок!$B$18:$R$23,3,0),IF(AND($F$17="в кінці терміну",$F$15="ні",$F$13="інтернет-банкінг",$F$11="долар США"),VLOOKUP($F$19,розрахунок!$B$18:$R$23,5,0),IF(AND($F$17="в кінці терміну",$F$15="ні",$F$13="інтернет-банкінг",$F$11="євро"),VLOOKUP($F$19,розрахунок!$B$18:$R$23,7,0),IF(AND($F$17="щомісячно",$F$15="ні",$F$13="інтернет-банкінг",$F$11="гривня"),VLOOKUP($F$19,розрахунок!$B$18:$R$23,9,0),IF(AND($F$17="щомісячно",$F$15="ні",$F$13="інтернет-банкінг",$F$11="долар США"),VLOOKUP($F$19,розрахунок!$B$18:$R$23,11,0),IF(AND($F$17="щомісячно",$F$15="ні",$F$13="інтернет-банкінг",$F$11="євро"),VLOOKUP($F$19,розрахунок!$B$18:$R$23,13,0),IF(AND($F$17="в кінці терміну",$F$15="так",$F$13="інтернет-банкінг",$F$11="гривня"),VLOOKUP($F$19,розрахунок!$B$18:$R$23,15,0),IF(AND($F$17="щомісячно",$F$15="так",$F$13="ІБ",$F$11="гривня"),VLOOKUP($F$19,розрахунок!$B$18:$R$23,17,0),0))))))))))))))))</f>
        <v>4599.6575342465758</v>
      </c>
      <c r="K11" s="65"/>
      <c r="L11" s="80"/>
      <c r="M11" s="80"/>
      <c r="N11" s="80"/>
      <c r="O11" s="10"/>
      <c r="P11" s="10"/>
      <c r="Q11" s="10"/>
      <c r="R11" s="10"/>
    </row>
    <row r="12" spans="1:18" ht="5.25" customHeight="1" thickBot="1" x14ac:dyDescent="0.35">
      <c r="A12" s="10"/>
      <c r="B12" s="57"/>
      <c r="C12" s="57"/>
      <c r="D12" s="57"/>
      <c r="E12" s="20"/>
      <c r="F12" s="21"/>
      <c r="G12" s="18"/>
      <c r="H12" s="62"/>
      <c r="I12" s="63"/>
      <c r="J12" s="66"/>
      <c r="K12" s="67"/>
      <c r="L12" s="19"/>
      <c r="M12" s="19"/>
      <c r="N12" s="19"/>
      <c r="O12" s="10"/>
      <c r="P12" s="10"/>
      <c r="Q12" s="10"/>
      <c r="R12" s="10"/>
    </row>
    <row r="13" spans="1:18" ht="15.6" thickBot="1" x14ac:dyDescent="0.35">
      <c r="A13" s="10"/>
      <c r="B13" s="59" t="s">
        <v>45</v>
      </c>
      <c r="C13" s="59"/>
      <c r="D13" s="59"/>
      <c r="E13" s="16"/>
      <c r="F13" s="17" t="s">
        <v>54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7.8" customHeight="1" x14ac:dyDescent="0.3">
      <c r="A14" s="10"/>
      <c r="B14" s="57"/>
      <c r="C14" s="57"/>
      <c r="D14" s="57"/>
      <c r="E14" s="20"/>
      <c r="F14" s="21"/>
      <c r="G14" s="18"/>
      <c r="H14" s="68" t="s">
        <v>47</v>
      </c>
      <c r="I14" s="69"/>
      <c r="J14" s="70">
        <f>J11-(J11*19.5%)</f>
        <v>3702.7243150684935</v>
      </c>
      <c r="K14" s="71"/>
      <c r="L14" s="76"/>
      <c r="M14" s="77"/>
      <c r="N14" s="77"/>
      <c r="O14" s="10"/>
      <c r="P14" s="10"/>
      <c r="Q14" s="10"/>
      <c r="R14" s="10"/>
    </row>
    <row r="15" spans="1:18" ht="14.25" customHeight="1" x14ac:dyDescent="0.3">
      <c r="A15" s="10"/>
      <c r="B15" s="59" t="s">
        <v>15</v>
      </c>
      <c r="C15" s="59"/>
      <c r="D15" s="59"/>
      <c r="E15" s="16"/>
      <c r="F15" s="17" t="s">
        <v>29</v>
      </c>
      <c r="G15" s="18"/>
      <c r="H15" s="68"/>
      <c r="I15" s="69"/>
      <c r="J15" s="72"/>
      <c r="K15" s="73"/>
      <c r="L15" s="77"/>
      <c r="M15" s="77"/>
      <c r="N15" s="77"/>
      <c r="O15" s="10"/>
      <c r="P15" s="10"/>
      <c r="Q15" s="10"/>
      <c r="R15" s="10"/>
    </row>
    <row r="16" spans="1:18" ht="5.25" customHeight="1" thickBot="1" x14ac:dyDescent="0.35">
      <c r="A16" s="10"/>
      <c r="B16" s="57"/>
      <c r="C16" s="57"/>
      <c r="D16" s="57"/>
      <c r="E16" s="20"/>
      <c r="F16" s="21"/>
      <c r="G16" s="18"/>
      <c r="H16" s="68"/>
      <c r="I16" s="69"/>
      <c r="J16" s="74"/>
      <c r="K16" s="75"/>
      <c r="L16" s="77"/>
      <c r="M16" s="77"/>
      <c r="N16" s="77"/>
      <c r="O16" s="10"/>
      <c r="P16" s="10"/>
      <c r="Q16" s="10"/>
      <c r="R16" s="10"/>
    </row>
    <row r="17" spans="1:18" ht="15.6" thickBot="1" x14ac:dyDescent="0.35">
      <c r="A17" s="10"/>
      <c r="B17" s="58" t="s">
        <v>0</v>
      </c>
      <c r="C17" s="58"/>
      <c r="D17" s="58"/>
      <c r="E17" s="16"/>
      <c r="F17" s="17" t="s">
        <v>34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3">
      <c r="A18" s="10"/>
      <c r="B18" s="57"/>
      <c r="C18" s="57"/>
      <c r="D18" s="57"/>
      <c r="E18" s="20"/>
      <c r="F18" s="21"/>
      <c r="G18" s="18"/>
      <c r="H18" s="68" t="s">
        <v>49</v>
      </c>
      <c r="I18" s="69"/>
      <c r="J18" s="70">
        <f>J11-J14</f>
        <v>896.93321917808225</v>
      </c>
      <c r="K18" s="71"/>
      <c r="L18" s="78"/>
      <c r="M18" s="78"/>
      <c r="N18" s="78"/>
      <c r="O18" s="10"/>
      <c r="P18" s="10"/>
      <c r="Q18" s="10"/>
      <c r="R18" s="10"/>
    </row>
    <row r="19" spans="1:18" x14ac:dyDescent="0.3">
      <c r="A19" s="10"/>
      <c r="B19" s="58" t="s">
        <v>19</v>
      </c>
      <c r="C19" s="58"/>
      <c r="D19" s="58"/>
      <c r="E19" s="16"/>
      <c r="F19" s="17">
        <v>12</v>
      </c>
      <c r="G19" s="18"/>
      <c r="H19" s="68"/>
      <c r="I19" s="69"/>
      <c r="J19" s="72"/>
      <c r="K19" s="73"/>
      <c r="L19" s="78"/>
      <c r="M19" s="78"/>
      <c r="N19" s="78"/>
      <c r="O19" s="10"/>
      <c r="P19" s="10"/>
      <c r="Q19" s="10"/>
      <c r="R19" s="10"/>
    </row>
    <row r="20" spans="1:18" ht="5.25" customHeight="1" thickBot="1" x14ac:dyDescent="0.35">
      <c r="A20" s="10"/>
      <c r="B20" s="57"/>
      <c r="C20" s="57"/>
      <c r="D20" s="57"/>
      <c r="E20" s="20"/>
      <c r="F20" s="21"/>
      <c r="G20" s="18"/>
      <c r="H20" s="68"/>
      <c r="I20" s="69"/>
      <c r="J20" s="74"/>
      <c r="K20" s="75"/>
      <c r="L20" s="78"/>
      <c r="M20" s="78"/>
      <c r="N20" s="78"/>
      <c r="O20" s="10"/>
      <c r="P20" s="10"/>
      <c r="Q20" s="10"/>
      <c r="R20" s="10"/>
    </row>
    <row r="21" spans="1:18" ht="16.2" thickBot="1" x14ac:dyDescent="0.35">
      <c r="A21" s="10"/>
      <c r="B21" s="58" t="s">
        <v>14</v>
      </c>
      <c r="C21" s="58"/>
      <c r="D21" s="58"/>
      <c r="E21" s="16"/>
      <c r="F21" s="24">
        <v>44183</v>
      </c>
      <c r="G21" s="18"/>
      <c r="H21" s="51"/>
      <c r="I21" s="51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35">
      <c r="A22" s="10"/>
      <c r="B22" s="37"/>
      <c r="C22" s="37"/>
      <c r="D22" s="37"/>
      <c r="E22" s="16"/>
      <c r="F22" s="39"/>
      <c r="G22" s="18"/>
      <c r="H22" s="52" t="s">
        <v>50</v>
      </c>
      <c r="I22" s="52"/>
      <c r="J22" s="53">
        <f>(J14/F9)/(VLOOKUP(F19,розрахунок!T5:W23,4,0))*розрахунок!W18</f>
        <v>7.4054486301369876E-2</v>
      </c>
      <c r="K22" s="54"/>
      <c r="L22" s="19"/>
      <c r="M22" s="40"/>
      <c r="N22" s="19"/>
      <c r="O22" s="10"/>
      <c r="P22" s="10"/>
      <c r="Q22" s="10"/>
      <c r="R22" s="10"/>
    </row>
    <row r="23" spans="1:18" ht="6" customHeight="1" thickBot="1" x14ac:dyDescent="0.35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33" customHeight="1" thickBot="1" x14ac:dyDescent="0.35">
      <c r="A24" s="10"/>
      <c r="B24" s="44"/>
      <c r="C24" s="44"/>
      <c r="D24" s="44"/>
      <c r="E24" s="16"/>
      <c r="F24" s="39"/>
      <c r="G24" s="18"/>
      <c r="H24" s="48" t="s">
        <v>53</v>
      </c>
      <c r="I24" s="48"/>
      <c r="J24" s="49">
        <v>0</v>
      </c>
      <c r="K24" s="50"/>
      <c r="L24" s="19"/>
      <c r="M24" s="19"/>
      <c r="N24" s="19"/>
      <c r="O24" s="10"/>
      <c r="P24" s="10"/>
      <c r="Q24" s="10"/>
      <c r="R24" s="10"/>
    </row>
    <row r="25" spans="1:18" ht="5.25" customHeight="1" thickBot="1" x14ac:dyDescent="0.35">
      <c r="A25" s="10"/>
      <c r="B25" s="61"/>
      <c r="C25" s="61"/>
      <c r="D25" s="61"/>
      <c r="E25" s="13"/>
      <c r="F25" s="11"/>
      <c r="G25" s="11"/>
      <c r="H25" s="48"/>
      <c r="I25" s="48"/>
      <c r="J25" s="55"/>
      <c r="K25" s="56"/>
      <c r="L25" s="12"/>
      <c r="M25" s="12"/>
      <c r="N25" s="12"/>
      <c r="O25" s="10"/>
      <c r="P25" s="10"/>
      <c r="Q25" s="10"/>
      <c r="R25" s="10"/>
    </row>
    <row r="26" spans="1:18" ht="48" customHeight="1" thickBot="1" x14ac:dyDescent="0.35">
      <c r="A26" s="10"/>
      <c r="B26" s="45" t="s">
        <v>52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0"/>
      <c r="P26" s="10"/>
      <c r="Q26" s="10"/>
      <c r="R26" s="10"/>
    </row>
    <row r="27" spans="1:18" x14ac:dyDescent="0.3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P35" s="10"/>
      <c r="Q35" s="10"/>
      <c r="R35" s="10"/>
    </row>
  </sheetData>
  <sheetProtection password="9D33" sheet="1" objects="1" scenarios="1"/>
  <dataConsolidate>
    <dataRefs count="1">
      <dataRef ref="H13:H14" sheet="Калькулятор"/>
    </dataRefs>
  </dataConsolidate>
  <mergeCells count="46">
    <mergeCell ref="L10:N11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17:D17"/>
    <mergeCell ref="B26:N26"/>
    <mergeCell ref="H24:I24"/>
    <mergeCell ref="J24:K24"/>
    <mergeCell ref="H21:I21"/>
    <mergeCell ref="H22:I22"/>
    <mergeCell ref="J22:K22"/>
    <mergeCell ref="H25:I25"/>
    <mergeCell ref="J25:K25"/>
  </mergeCells>
  <dataValidations count="9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"щомісячно"</formula1>
    </dataValidation>
    <dataValidation type="list" allowBlank="1" showInputMessage="1" showErrorMessage="1" sqref="F13">
      <formula1>"відділення,інтернет-банкінг"</formula1>
    </dataValidation>
    <dataValidation type="list" allowBlank="1" showInputMessage="1" showErrorMessage="1" sqref="F19">
      <formula1>"3,6,9,12,18"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D1" workbookViewId="0">
      <selection activeCell="I19" sqref="I19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3"/>
      <c r="AD1" s="33"/>
    </row>
    <row r="2" spans="1:32" ht="16.5" customHeight="1" x14ac:dyDescent="0.3">
      <c r="A2" s="98"/>
      <c r="B2" s="106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4" t="s">
        <v>16</v>
      </c>
      <c r="P2" s="104"/>
      <c r="Q2" s="104"/>
      <c r="R2" s="104"/>
    </row>
    <row r="3" spans="1:32" ht="16.5" customHeight="1" x14ac:dyDescent="0.3">
      <c r="A3" s="98"/>
      <c r="B3" s="106"/>
      <c r="C3" s="95" t="s">
        <v>42</v>
      </c>
      <c r="D3" s="95"/>
      <c r="E3" s="95"/>
      <c r="F3" s="95"/>
      <c r="G3" s="95"/>
      <c r="H3" s="95"/>
      <c r="I3" s="95" t="s">
        <v>43</v>
      </c>
      <c r="J3" s="95"/>
      <c r="K3" s="95"/>
      <c r="L3" s="95"/>
      <c r="M3" s="95"/>
      <c r="N3" s="95"/>
      <c r="O3" s="95" t="s">
        <v>9</v>
      </c>
      <c r="P3" s="95"/>
      <c r="Q3" s="95" t="s">
        <v>10</v>
      </c>
      <c r="R3" s="95"/>
    </row>
    <row r="4" spans="1:32" ht="18" customHeight="1" x14ac:dyDescent="0.3">
      <c r="A4" s="98"/>
      <c r="B4" s="106"/>
      <c r="C4" s="103" t="s">
        <v>25</v>
      </c>
      <c r="D4" s="103"/>
      <c r="E4" s="96" t="s">
        <v>26</v>
      </c>
      <c r="F4" s="97"/>
      <c r="G4" s="96" t="s">
        <v>27</v>
      </c>
      <c r="H4" s="97"/>
      <c r="I4" s="103" t="s">
        <v>25</v>
      </c>
      <c r="J4" s="103"/>
      <c r="K4" s="96" t="s">
        <v>26</v>
      </c>
      <c r="L4" s="97"/>
      <c r="M4" s="96" t="s">
        <v>27</v>
      </c>
      <c r="N4" s="97"/>
      <c r="O4" s="96" t="s">
        <v>25</v>
      </c>
      <c r="P4" s="108"/>
      <c r="Q4" s="108"/>
      <c r="R4" s="97"/>
    </row>
    <row r="5" spans="1:32" ht="37.5" customHeight="1" x14ac:dyDescent="0.3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44183</v>
      </c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44214</v>
      </c>
      <c r="V6">
        <f>U6-U5</f>
        <v>31</v>
      </c>
      <c r="W6">
        <f>V6-V5</f>
        <v>31</v>
      </c>
      <c r="AA6" s="91" t="s">
        <v>35</v>
      </c>
      <c r="AB6" s="91"/>
      <c r="AC6" s="90" t="s">
        <v>36</v>
      </c>
      <c r="AD6" s="90"/>
      <c r="AE6" s="90" t="s">
        <v>32</v>
      </c>
      <c r="AF6" s="90"/>
    </row>
    <row r="7" spans="1:32" x14ac:dyDescent="0.3">
      <c r="A7" s="2" t="s">
        <v>39</v>
      </c>
      <c r="B7" s="2">
        <v>3</v>
      </c>
      <c r="C7" s="3"/>
      <c r="D7" s="5"/>
      <c r="E7" s="3"/>
      <c r="F7" s="5"/>
      <c r="G7" s="3"/>
      <c r="H7" s="5"/>
      <c r="I7" s="3">
        <v>7.7499999999999999E-2</v>
      </c>
      <c r="J7" s="5">
        <f>Калькулятор!$F$9*розрахунок!I7/365*(W8-2)</f>
        <v>934.2465753424658</v>
      </c>
      <c r="K7" s="31">
        <v>2.5000000000000001E-3</v>
      </c>
      <c r="L7" s="9">
        <f>Калькулятор!$F$9*розрахунок!K7/365*(W8-2)</f>
        <v>30.136986301369863</v>
      </c>
      <c r="M7" s="31">
        <v>2E-3</v>
      </c>
      <c r="N7" s="9">
        <f>Калькулятор!$F$9*розрахунок!M7/365*(W8-2)</f>
        <v>24.109589041095887</v>
      </c>
      <c r="O7" s="3"/>
      <c r="P7" s="5"/>
      <c r="Q7" s="3"/>
      <c r="R7" s="9"/>
      <c r="T7">
        <v>2</v>
      </c>
      <c r="U7" s="1">
        <f t="shared" si="0"/>
        <v>44245</v>
      </c>
      <c r="V7">
        <f t="shared" ref="V7:V29" si="1">U7-U6</f>
        <v>31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">
      <c r="A8" s="2" t="s">
        <v>40</v>
      </c>
      <c r="B8" s="2">
        <v>6</v>
      </c>
      <c r="C8" s="3"/>
      <c r="D8" s="5"/>
      <c r="E8" s="3"/>
      <c r="F8" s="5"/>
      <c r="G8" s="3"/>
      <c r="H8" s="5"/>
      <c r="I8" s="3">
        <f>IF(Калькулятор!$F$9&gt;=100000,розрахунок!AD8,розрахунок!AB8)</f>
        <v>0.08</v>
      </c>
      <c r="J8" s="5">
        <f>(Калькулятор!$F$9*розрахунок!I8/365*(W11-2))</f>
        <v>1972.6027397260273</v>
      </c>
      <c r="K8" s="31">
        <v>2.5000000000000001E-3</v>
      </c>
      <c r="L8" s="9">
        <f>Калькулятор!$F$9*розрахунок!K8/365*(W11-2)</f>
        <v>61.643835616438352</v>
      </c>
      <c r="M8" s="31">
        <v>3.0000000000000001E-3</v>
      </c>
      <c r="N8" s="9">
        <f>Калькулятор!$F$9*розрахунок!M8/365*(W11-2)</f>
        <v>73.972602739726028</v>
      </c>
      <c r="O8" s="3"/>
      <c r="P8" s="5"/>
      <c r="Q8" s="3"/>
      <c r="R8" s="9"/>
      <c r="T8">
        <v>3</v>
      </c>
      <c r="U8" s="1">
        <f t="shared" si="0"/>
        <v>44273</v>
      </c>
      <c r="V8">
        <f t="shared" si="1"/>
        <v>28</v>
      </c>
      <c r="W8">
        <f>SUM(V6:V8)</f>
        <v>90</v>
      </c>
      <c r="Z8" s="36">
        <v>6</v>
      </c>
      <c r="AA8" s="3"/>
      <c r="AB8" s="3">
        <v>0.08</v>
      </c>
      <c r="AC8" s="35"/>
      <c r="AD8" s="35">
        <f>IF(Калькулятор!$F$9&gt;=500000,AF8,AD12)</f>
        <v>8.2500000000000004E-2</v>
      </c>
      <c r="AE8" s="35"/>
      <c r="AF8" s="35">
        <f>AB8+0.5%</f>
        <v>8.5000000000000006E-2</v>
      </c>
    </row>
    <row r="9" spans="1:32" x14ac:dyDescent="0.3">
      <c r="A9" s="2" t="s">
        <v>41</v>
      </c>
      <c r="B9" s="2">
        <v>9</v>
      </c>
      <c r="C9" s="3"/>
      <c r="D9" s="5"/>
      <c r="E9" s="3"/>
      <c r="F9" s="5"/>
      <c r="G9" s="3"/>
      <c r="H9" s="5"/>
      <c r="I9" s="3">
        <f>IF(Калькулятор!$F$9&gt;=100000,розрахунок!AD9,розрахунок!AB9)</f>
        <v>8.7499999999999994E-2</v>
      </c>
      <c r="J9" s="5">
        <f>Калькулятор!$F$9*розрахунок!I9/365*(W14-2)</f>
        <v>3260.2739726027398</v>
      </c>
      <c r="K9" s="31">
        <v>7.4999999999999997E-3</v>
      </c>
      <c r="L9" s="9">
        <f>Калькулятор!$F$9*розрахунок!K9/365*(W14-2)</f>
        <v>279.45205479452056</v>
      </c>
      <c r="M9" s="31">
        <v>3.5000000000000001E-3</v>
      </c>
      <c r="N9" s="9">
        <f>Калькулятор!$F$9*розрахунок!M9/365*(W14-2)</f>
        <v>130.41095890410958</v>
      </c>
      <c r="O9" s="3"/>
      <c r="P9" s="5"/>
      <c r="Q9" s="3"/>
      <c r="R9" s="9"/>
      <c r="T9">
        <v>4</v>
      </c>
      <c r="U9" s="1">
        <f t="shared" si="0"/>
        <v>44304</v>
      </c>
      <c r="V9">
        <f t="shared" si="1"/>
        <v>31</v>
      </c>
      <c r="Z9" s="36">
        <v>9</v>
      </c>
      <c r="AA9" s="3"/>
      <c r="AB9" s="3">
        <v>8.7499999999999994E-2</v>
      </c>
      <c r="AC9" s="35"/>
      <c r="AD9" s="35">
        <f>IF(Калькулятор!$F$9&gt;=500000,AF9,AD13)</f>
        <v>0.09</v>
      </c>
      <c r="AE9" s="35"/>
      <c r="AF9" s="35">
        <f t="shared" ref="AF9:AF10" si="2">AB9+0.5%</f>
        <v>9.2499999999999999E-2</v>
      </c>
    </row>
    <row r="10" spans="1:32" x14ac:dyDescent="0.3">
      <c r="A10" s="2" t="s">
        <v>5</v>
      </c>
      <c r="B10" s="2">
        <v>12</v>
      </c>
      <c r="C10" s="3"/>
      <c r="D10" s="5"/>
      <c r="E10" s="3"/>
      <c r="F10" s="5"/>
      <c r="G10" s="3"/>
      <c r="H10" s="5"/>
      <c r="I10" s="3">
        <f>IF(Калькулятор!$F$9&gt;=100000,розрахунок!AD10,розрахунок!AB10)</f>
        <v>8.7499999999999994E-2</v>
      </c>
      <c r="J10" s="5">
        <f>Калькулятор!$F$9*розрахунок!I10/365*(W18-2)</f>
        <v>4351.0273972602745</v>
      </c>
      <c r="K10" s="31">
        <v>7.4999999999999997E-3</v>
      </c>
      <c r="L10" s="9">
        <f>Калькулятор!$F$9*розрахунок!K10/365*(W18-2)</f>
        <v>372.94520547945211</v>
      </c>
      <c r="M10" s="31">
        <v>4.4999999999999997E-3</v>
      </c>
      <c r="N10" s="9">
        <f>Калькулятор!$F$9*розрахунок!M10/365*(W18-2)</f>
        <v>223.76712328767121</v>
      </c>
      <c r="O10" s="3"/>
      <c r="P10" s="5"/>
      <c r="Q10" s="3"/>
      <c r="R10" s="9"/>
      <c r="T10">
        <v>5</v>
      </c>
      <c r="U10" s="1">
        <f t="shared" si="0"/>
        <v>44334</v>
      </c>
      <c r="V10">
        <f t="shared" si="1"/>
        <v>30</v>
      </c>
      <c r="Z10" s="36">
        <v>12</v>
      </c>
      <c r="AA10" s="3"/>
      <c r="AB10" s="3">
        <v>8.7499999999999994E-2</v>
      </c>
      <c r="AC10" s="35"/>
      <c r="AD10" s="35">
        <f>IF(Калькулятор!$F$9&gt;=500000,AF10,AD14)</f>
        <v>0.09</v>
      </c>
      <c r="AE10" s="35"/>
      <c r="AF10" s="35">
        <f t="shared" si="2"/>
        <v>9.2499999999999999E-2</v>
      </c>
    </row>
    <row r="11" spans="1:32" x14ac:dyDescent="0.3">
      <c r="A11" s="2" t="s">
        <v>6</v>
      </c>
      <c r="B11" s="2">
        <v>18</v>
      </c>
      <c r="C11" s="3"/>
      <c r="D11" s="5"/>
      <c r="E11" s="3"/>
      <c r="F11" s="5"/>
      <c r="G11" s="3"/>
      <c r="H11" s="5"/>
      <c r="I11" s="3">
        <v>7.2499999999999995E-2</v>
      </c>
      <c r="J11" s="5">
        <f>Калькулятор!$F$9*розрахунок!I11/365*(W24-2)</f>
        <v>5412.6712328767117</v>
      </c>
      <c r="K11" s="31"/>
      <c r="L11" s="9"/>
      <c r="M11" s="31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44365</v>
      </c>
      <c r="V11">
        <f t="shared" si="1"/>
        <v>31</v>
      </c>
      <c r="W11">
        <f>SUM(V6:V11)</f>
        <v>182</v>
      </c>
      <c r="AC11" s="90" t="s">
        <v>31</v>
      </c>
      <c r="AD11" s="90"/>
    </row>
    <row r="12" spans="1:32" ht="15" customHeight="1" x14ac:dyDescent="0.3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44395</v>
      </c>
      <c r="V12">
        <f>U12-U11</f>
        <v>30</v>
      </c>
      <c r="AC12" s="35"/>
      <c r="AD12" s="35">
        <f>AB8+0.25%</f>
        <v>8.2500000000000004E-2</v>
      </c>
      <c r="AE12" s="35"/>
      <c r="AF12" s="35"/>
    </row>
    <row r="13" spans="1:32" x14ac:dyDescent="0.3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44426</v>
      </c>
      <c r="V13">
        <f t="shared" si="1"/>
        <v>31</v>
      </c>
      <c r="AC13" s="35"/>
      <c r="AD13" s="35">
        <f t="shared" ref="AD13:AD14" si="3">AB9+0.25%</f>
        <v>0.09</v>
      </c>
      <c r="AE13" s="35"/>
      <c r="AF13" s="35"/>
    </row>
    <row r="14" spans="1:32" x14ac:dyDescent="0.3">
      <c r="A14" s="98"/>
      <c r="B14" s="106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4" t="s">
        <v>16</v>
      </c>
      <c r="P14" s="104"/>
      <c r="Q14" s="104"/>
      <c r="R14" s="104"/>
      <c r="T14">
        <v>9</v>
      </c>
      <c r="U14" s="1">
        <f t="shared" si="0"/>
        <v>44457</v>
      </c>
      <c r="V14">
        <f t="shared" si="1"/>
        <v>31</v>
      </c>
      <c r="W14">
        <f>SUM(V6:V14)</f>
        <v>274</v>
      </c>
      <c r="AC14" s="35"/>
      <c r="AD14" s="35">
        <f t="shared" si="3"/>
        <v>0.09</v>
      </c>
      <c r="AE14" s="35"/>
      <c r="AF14" s="35"/>
    </row>
    <row r="15" spans="1:32" x14ac:dyDescent="0.3">
      <c r="A15" s="98"/>
      <c r="B15" s="106"/>
      <c r="C15" s="95" t="s">
        <v>42</v>
      </c>
      <c r="D15" s="95"/>
      <c r="E15" s="95"/>
      <c r="F15" s="95"/>
      <c r="G15" s="95"/>
      <c r="H15" s="95"/>
      <c r="I15" s="95" t="s">
        <v>43</v>
      </c>
      <c r="J15" s="95"/>
      <c r="K15" s="95"/>
      <c r="L15" s="95"/>
      <c r="M15" s="95"/>
      <c r="N15" s="95"/>
      <c r="O15" s="95" t="s">
        <v>9</v>
      </c>
      <c r="P15" s="95"/>
      <c r="Q15" s="95" t="s">
        <v>10</v>
      </c>
      <c r="R15" s="95"/>
      <c r="T15">
        <v>10</v>
      </c>
      <c r="U15" s="1">
        <f t="shared" ref="U15:U29" si="4">EDATE($U$5,T15)</f>
        <v>44487</v>
      </c>
      <c r="AC15" s="34"/>
      <c r="AD15" s="34"/>
      <c r="AE15" s="34"/>
      <c r="AF15" s="34"/>
    </row>
    <row r="16" spans="1:32" x14ac:dyDescent="0.3">
      <c r="A16" s="98"/>
      <c r="B16" s="106"/>
      <c r="C16" s="103" t="s">
        <v>25</v>
      </c>
      <c r="D16" s="103"/>
      <c r="E16" s="96" t="s">
        <v>26</v>
      </c>
      <c r="F16" s="97"/>
      <c r="G16" s="96" t="s">
        <v>27</v>
      </c>
      <c r="H16" s="97"/>
      <c r="I16" s="103" t="s">
        <v>25</v>
      </c>
      <c r="J16" s="103"/>
      <c r="K16" s="96" t="s">
        <v>26</v>
      </c>
      <c r="L16" s="97"/>
      <c r="M16" s="96" t="s">
        <v>27</v>
      </c>
      <c r="N16" s="97"/>
      <c r="O16" s="96" t="s">
        <v>25</v>
      </c>
      <c r="P16" s="108"/>
      <c r="Q16" s="108"/>
      <c r="R16" s="97"/>
      <c r="T16">
        <v>11</v>
      </c>
      <c r="U16" s="1">
        <f t="shared" si="4"/>
        <v>44518</v>
      </c>
      <c r="V16">
        <f>U16-U14</f>
        <v>61</v>
      </c>
    </row>
    <row r="17" spans="1:23" ht="28.8" x14ac:dyDescent="0.3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4"/>
        <v>44548</v>
      </c>
      <c r="V17">
        <f t="shared" si="1"/>
        <v>30</v>
      </c>
      <c r="W17">
        <f>SUM(V6:V17)</f>
        <v>365</v>
      </c>
    </row>
    <row r="18" spans="1:23" x14ac:dyDescent="0.3">
      <c r="A18" s="2" t="s">
        <v>38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4"/>
        <v>44579</v>
      </c>
      <c r="V18">
        <f t="shared" si="1"/>
        <v>31</v>
      </c>
      <c r="W18">
        <f>SUM(V6:V17)</f>
        <v>365</v>
      </c>
    </row>
    <row r="19" spans="1:23" x14ac:dyDescent="0.3">
      <c r="A19" s="2" t="s">
        <v>39</v>
      </c>
      <c r="B19" s="2">
        <v>3</v>
      </c>
      <c r="C19" s="3"/>
      <c r="D19" s="5"/>
      <c r="E19" s="3"/>
      <c r="F19" s="5"/>
      <c r="G19" s="3"/>
      <c r="H19" s="5"/>
      <c r="I19" s="3">
        <f>I7+0.5%</f>
        <v>8.2500000000000004E-2</v>
      </c>
      <c r="J19" s="5">
        <f>Калькулятор!$F$9*розрахунок!I19/365*(W8-2)</f>
        <v>994.52054794520552</v>
      </c>
      <c r="K19" s="31">
        <f>K7</f>
        <v>2.5000000000000001E-3</v>
      </c>
      <c r="L19" s="9">
        <f>Калькулятор!$F$9*розрахунок!K19/365*(W8-2)</f>
        <v>30.136986301369863</v>
      </c>
      <c r="M19" s="31">
        <f>M7</f>
        <v>2E-3</v>
      </c>
      <c r="N19" s="9">
        <f>Калькулятор!$F$9*розрахунок!M19/365*(W8-2)</f>
        <v>24.109589041095887</v>
      </c>
      <c r="O19" s="3"/>
      <c r="P19" s="5"/>
      <c r="Q19" s="3"/>
      <c r="R19" s="9"/>
      <c r="T19">
        <v>14</v>
      </c>
      <c r="U19" s="1">
        <f t="shared" si="4"/>
        <v>44610</v>
      </c>
      <c r="V19">
        <f t="shared" si="1"/>
        <v>31</v>
      </c>
    </row>
    <row r="20" spans="1:23" x14ac:dyDescent="0.3">
      <c r="A20" s="2" t="s">
        <v>40</v>
      </c>
      <c r="B20" s="2">
        <v>6</v>
      </c>
      <c r="C20" s="3"/>
      <c r="D20" s="5"/>
      <c r="E20" s="3"/>
      <c r="F20" s="5"/>
      <c r="G20" s="3"/>
      <c r="H20" s="5"/>
      <c r="I20" s="3">
        <f>AB8+0.5%</f>
        <v>8.5000000000000006E-2</v>
      </c>
      <c r="J20" s="5">
        <f>Калькулятор!$F$9*розрахунок!I20/365*(W11-2)</f>
        <v>2095.8904109589039</v>
      </c>
      <c r="K20" s="31">
        <f>K8</f>
        <v>2.5000000000000001E-3</v>
      </c>
      <c r="L20" s="9">
        <f>Калькулятор!$F$9*розрахунок!K20/365*(W11-2)</f>
        <v>61.643835616438352</v>
      </c>
      <c r="M20" s="31">
        <f>M8</f>
        <v>3.0000000000000001E-3</v>
      </c>
      <c r="N20" s="9">
        <f>Калькулятор!$F$9*розрахунок!M20/365*(W11-2)</f>
        <v>73.972602739726028</v>
      </c>
      <c r="O20" s="3"/>
      <c r="P20" s="5"/>
      <c r="Q20" s="3"/>
      <c r="R20" s="9"/>
      <c r="T20">
        <v>15</v>
      </c>
      <c r="U20" s="1">
        <f t="shared" si="4"/>
        <v>44638</v>
      </c>
      <c r="V20">
        <f t="shared" si="1"/>
        <v>28</v>
      </c>
    </row>
    <row r="21" spans="1:23" x14ac:dyDescent="0.3">
      <c r="A21" s="2" t="s">
        <v>41</v>
      </c>
      <c r="B21" s="2">
        <v>9</v>
      </c>
      <c r="C21" s="3"/>
      <c r="D21" s="5"/>
      <c r="E21" s="3"/>
      <c r="F21" s="5"/>
      <c r="G21" s="3"/>
      <c r="H21" s="5"/>
      <c r="I21" s="3">
        <f t="shared" ref="I21:I22" si="5">AB9+0.5%</f>
        <v>9.2499999999999999E-2</v>
      </c>
      <c r="J21" s="5">
        <f>Калькулятор!$F$9*розрахунок!I21/365*(W14-2)</f>
        <v>3446.5753424657537</v>
      </c>
      <c r="K21" s="31">
        <f>K9</f>
        <v>7.4999999999999997E-3</v>
      </c>
      <c r="L21" s="9">
        <f>Калькулятор!$F$9*розрахунок!K21/365*(W14-2)</f>
        <v>279.45205479452056</v>
      </c>
      <c r="M21" s="31">
        <f>M9</f>
        <v>3.5000000000000001E-3</v>
      </c>
      <c r="N21" s="9">
        <f>Калькулятор!$F$9*розрахунок!M21/365*(W14-2)</f>
        <v>130.41095890410958</v>
      </c>
      <c r="O21" s="3"/>
      <c r="P21" s="5"/>
      <c r="Q21" s="3"/>
      <c r="R21" s="9"/>
      <c r="T21">
        <v>16</v>
      </c>
      <c r="U21" s="1">
        <f t="shared" si="4"/>
        <v>44669</v>
      </c>
      <c r="V21">
        <f t="shared" si="1"/>
        <v>31</v>
      </c>
      <c r="W21">
        <f>SUM(V6:V21)</f>
        <v>486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>
        <f t="shared" si="5"/>
        <v>9.2499999999999999E-2</v>
      </c>
      <c r="J22" s="5">
        <f>Калькулятор!$F$9*розрахунок!I22/365*(W18-2)</f>
        <v>4599.6575342465758</v>
      </c>
      <c r="K22" s="31">
        <f>K10</f>
        <v>7.4999999999999997E-3</v>
      </c>
      <c r="L22" s="9">
        <f>Калькулятор!$F$9*розрахунок!K22/365*(W18-2)</f>
        <v>372.94520547945211</v>
      </c>
      <c r="M22" s="31">
        <f>M10</f>
        <v>4.4999999999999997E-3</v>
      </c>
      <c r="N22" s="9">
        <f>Калькулятор!$F$9*розрахунок!M22/365*(W18-2)</f>
        <v>223.76712328767121</v>
      </c>
      <c r="O22" s="3"/>
      <c r="P22" s="5"/>
      <c r="Q22" s="3"/>
      <c r="R22" s="9"/>
      <c r="T22">
        <v>17</v>
      </c>
      <c r="U22" s="1">
        <f t="shared" si="4"/>
        <v>44699</v>
      </c>
      <c r="V22">
        <f t="shared" si="1"/>
        <v>30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>
        <f>I11+0.5%</f>
        <v>7.7499999999999999E-2</v>
      </c>
      <c r="J23" s="5">
        <f>Калькулятор!$F$9*розрахунок!I23/365*(W24-2)</f>
        <v>5785.9589041095887</v>
      </c>
      <c r="K23" s="31"/>
      <c r="L23" s="9"/>
      <c r="M23" s="31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4"/>
        <v>44730</v>
      </c>
      <c r="V23">
        <f t="shared" si="1"/>
        <v>31</v>
      </c>
      <c r="W23">
        <f>SUM(V5:V23)</f>
        <v>547</v>
      </c>
    </row>
    <row r="24" spans="1:23" x14ac:dyDescent="0.3">
      <c r="T24">
        <v>19</v>
      </c>
      <c r="U24" s="1">
        <f t="shared" si="4"/>
        <v>44760</v>
      </c>
      <c r="V24">
        <f t="shared" si="1"/>
        <v>30</v>
      </c>
      <c r="W24">
        <f>SUM(V6:V23)</f>
        <v>547</v>
      </c>
    </row>
    <row r="25" spans="1:23" x14ac:dyDescent="0.3">
      <c r="T25">
        <v>20</v>
      </c>
      <c r="U25" s="1">
        <f t="shared" si="4"/>
        <v>44791</v>
      </c>
      <c r="V25">
        <f t="shared" si="1"/>
        <v>31</v>
      </c>
    </row>
    <row r="26" spans="1:23" x14ac:dyDescent="0.3">
      <c r="T26">
        <v>21</v>
      </c>
      <c r="U26" s="1">
        <f t="shared" si="4"/>
        <v>44822</v>
      </c>
      <c r="V26">
        <f t="shared" si="1"/>
        <v>31</v>
      </c>
    </row>
    <row r="27" spans="1:23" x14ac:dyDescent="0.3">
      <c r="T27">
        <v>22</v>
      </c>
      <c r="U27" s="1">
        <f t="shared" si="4"/>
        <v>44852</v>
      </c>
      <c r="V27">
        <f t="shared" si="1"/>
        <v>30</v>
      </c>
    </row>
    <row r="28" spans="1:23" x14ac:dyDescent="0.3">
      <c r="T28">
        <v>23</v>
      </c>
      <c r="U28" s="1">
        <f t="shared" si="4"/>
        <v>44883</v>
      </c>
      <c r="V28">
        <f t="shared" si="1"/>
        <v>31</v>
      </c>
    </row>
    <row r="29" spans="1:23" x14ac:dyDescent="0.3">
      <c r="T29">
        <v>24</v>
      </c>
      <c r="U29" s="1">
        <f t="shared" si="4"/>
        <v>44913</v>
      </c>
      <c r="V29">
        <f t="shared" si="1"/>
        <v>30</v>
      </c>
      <c r="W29">
        <f>SUM(V6:V29)</f>
        <v>730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  <ignoredErrors>
    <ignoredError sqref="L19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розрахунок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2020-12-17T12:31:54Z</dcterms:modified>
</cp:coreProperties>
</file>