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Картка СВ White +_без страховки" sheetId="9" r:id="rId1"/>
    <sheet name="Картка СВ White +_із страховкою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C13" i="10"/>
  <c r="H14" i="10" s="1"/>
  <c r="E14" i="10"/>
  <c r="G13" i="10"/>
  <c r="G26" i="10" s="1"/>
  <c r="D14" i="10" l="1"/>
  <c r="C14" i="10" l="1"/>
  <c r="F14" i="10"/>
  <c r="I36" i="10" l="1"/>
  <c r="H15" i="10"/>
  <c r="I15" i="10"/>
  <c r="E15" i="10"/>
  <c r="D15" i="10" l="1"/>
  <c r="C15" i="10" l="1"/>
  <c r="F15" i="10"/>
  <c r="I16" i="10" l="1"/>
  <c r="H16" i="10"/>
  <c r="E16" i="10"/>
  <c r="D16" i="10" s="1"/>
  <c r="F16" i="10" s="1"/>
  <c r="H17" i="10" l="1"/>
  <c r="I17" i="10"/>
  <c r="E17" i="10"/>
  <c r="C16" i="10"/>
  <c r="D17" i="10" l="1"/>
  <c r="F17" i="10" s="1"/>
  <c r="C17" i="10" l="1"/>
  <c r="I18" i="10"/>
  <c r="H18" i="10"/>
  <c r="E18" i="10"/>
  <c r="D18" i="10" l="1"/>
  <c r="C18" i="10" s="1"/>
  <c r="F18" i="10" l="1"/>
  <c r="H19" i="10" s="1"/>
  <c r="E19" i="10" l="1"/>
  <c r="I19" i="10"/>
  <c r="D19" i="10" l="1"/>
  <c r="F19" i="10" s="1"/>
  <c r="I20" i="10" s="1"/>
  <c r="C19" i="10" l="1"/>
  <c r="E20" i="10"/>
  <c r="H20" i="10"/>
  <c r="D20" i="10" l="1"/>
  <c r="F20" i="10" s="1"/>
  <c r="H21" i="10"/>
  <c r="I21" i="10"/>
  <c r="E21" i="10"/>
  <c r="C20" i="10" l="1"/>
  <c r="D21" i="10"/>
  <c r="C21" i="10" s="1"/>
  <c r="F21" i="10" l="1"/>
  <c r="I22" i="10" s="1"/>
  <c r="E22" i="10" l="1"/>
  <c r="H22" i="10"/>
  <c r="D22" i="10" l="1"/>
  <c r="C22" i="10" s="1"/>
  <c r="F22" i="10" l="1"/>
  <c r="I23" i="10" s="1"/>
  <c r="H23" i="10"/>
  <c r="E23" i="10" l="1"/>
  <c r="D23" i="10"/>
  <c r="C23" i="10" s="1"/>
  <c r="F23" i="10" l="1"/>
  <c r="I24" i="10" s="1"/>
  <c r="E24" i="10"/>
  <c r="H24" i="10" l="1"/>
  <c r="D24" i="10"/>
  <c r="C24" i="10" s="1"/>
  <c r="F24" i="10" l="1"/>
  <c r="H25" i="10" s="1"/>
  <c r="H26" i="10" s="1"/>
  <c r="E25" i="10" l="1"/>
  <c r="E26" i="10" s="1"/>
  <c r="I25" i="10"/>
  <c r="I26" i="10" s="1"/>
  <c r="D25" i="10" l="1"/>
  <c r="F25" i="10" s="1"/>
  <c r="C25" i="10" s="1"/>
  <c r="J26" i="10" s="1"/>
  <c r="I42" i="10" s="1"/>
  <c r="D26" i="10"/>
  <c r="L26" i="10"/>
  <c r="I38" i="10" s="1"/>
  <c r="C26" i="10"/>
  <c r="K26" i="10" l="1"/>
  <c r="I40" i="10" s="1"/>
  <c r="I32" i="9"/>
  <c r="G14" i="9" l="1"/>
  <c r="B1" i="9" l="1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4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l="1"/>
  <c r="H18" i="9"/>
  <c r="I18" i="9"/>
  <c r="D18" i="9" l="1"/>
  <c r="C18" i="9" s="1"/>
  <c r="F18" i="9" l="1"/>
  <c r="I19" i="9" s="1"/>
  <c r="E19" i="9" l="1"/>
  <c r="H19" i="9"/>
  <c r="D19" i="9" l="1"/>
  <c r="C19" i="9" s="1"/>
  <c r="F19" i="9"/>
  <c r="E20" i="9" s="1"/>
  <c r="H20" i="9" l="1"/>
  <c r="I20" i="9"/>
  <c r="D20" i="9" l="1"/>
  <c r="C20" i="9" s="1"/>
  <c r="F20" i="9" l="1"/>
  <c r="H21" i="9" s="1"/>
  <c r="E21" i="9"/>
  <c r="I21" i="9" l="1"/>
  <c r="D21" i="9"/>
  <c r="F21" i="9" s="1"/>
  <c r="H22" i="9" s="1"/>
  <c r="I22" i="9" l="1"/>
  <c r="E22" i="9"/>
  <c r="C21" i="9"/>
  <c r="D22" i="9" l="1"/>
  <c r="C22" i="9" s="1"/>
  <c r="F22" i="9" l="1"/>
  <c r="I23" i="9" s="1"/>
  <c r="E23" i="9" l="1"/>
  <c r="H23" i="9"/>
  <c r="D23" i="9" l="1"/>
  <c r="C23" i="9" s="1"/>
  <c r="F23" i="9"/>
  <c r="I24" i="9" s="1"/>
  <c r="E24" i="9" l="1"/>
  <c r="H24" i="9"/>
  <c r="D24" i="9" l="1"/>
  <c r="F24" i="9" s="1"/>
  <c r="E25" i="9" s="1"/>
  <c r="E26" i="9" s="1"/>
  <c r="I25" i="9"/>
  <c r="I26" i="9" s="1"/>
  <c r="H25" i="9"/>
  <c r="H26" i="9" s="1"/>
  <c r="L26" i="9" s="1"/>
  <c r="I36" i="9" s="1"/>
  <c r="C24" i="9"/>
  <c r="D25" i="9" l="1"/>
  <c r="F25" i="9" s="1"/>
  <c r="C25" i="9" s="1"/>
  <c r="C26" i="9" s="1"/>
  <c r="J26" i="9"/>
  <c r="I40" i="9" s="1"/>
  <c r="D26" i="9"/>
  <c r="K26" i="9" l="1"/>
  <c r="I38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<sst xmlns="http://schemas.openxmlformats.org/spreadsheetml/2006/main" count="80" uniqueCount="36">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</sst>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9" fontId="8" fillId="5" borderId="0" xfId="1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9" fontId="8" fillId="0" borderId="0" xfId="1" applyFont="1" applyBorder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91440</xdr:rowOff>
    </xdr:from>
    <xdr:to>
      <xdr:col>2</xdr:col>
      <xdr:colOff>129540</xdr:colOff>
      <xdr:row>28</xdr:row>
      <xdr:rowOff>518160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5273040"/>
          <a:ext cx="1676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3.109375" style="17" bestFit="1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53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0.72</v>
      </c>
      <c r="C2" s="37"/>
      <c r="D2" s="37"/>
      <c r="E2" s="54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36">
        <f>B2/B10</f>
        <v>1.9726027397260273E-3</v>
      </c>
      <c r="C3" s="37"/>
      <c r="D3" s="37"/>
      <c r="E3" s="54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34</v>
      </c>
      <c r="B4" s="36">
        <v>7.0000000000000007E-2</v>
      </c>
      <c r="C4" s="37"/>
      <c r="D4" s="37"/>
      <c r="E4" s="54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54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54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</v>
      </c>
      <c r="C7" s="38">
        <v>0</v>
      </c>
      <c r="D7" s="39" t="s">
        <v>26</v>
      </c>
      <c r="E7" s="54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54"/>
      <c r="F8" s="15"/>
      <c r="G8" s="18"/>
      <c r="H8" s="18"/>
      <c r="I8" s="18"/>
      <c r="J8" s="18"/>
    </row>
    <row r="9" spans="1:12" ht="15" hidden="1" customHeight="1" x14ac:dyDescent="0.3">
      <c r="A9" s="62" t="s">
        <v>33</v>
      </c>
      <c r="B9" s="63">
        <f>B4+B8/B1</f>
        <v>7.0000000000000007E-2</v>
      </c>
      <c r="C9" s="64"/>
      <c r="D9" s="64"/>
      <c r="E9" s="65"/>
      <c r="F9" s="15"/>
      <c r="G9" s="18"/>
      <c r="H9" s="18"/>
      <c r="I9" s="18"/>
      <c r="J9" s="18"/>
    </row>
    <row r="10" spans="1:12" s="21" customFormat="1" ht="14.4" hidden="1" customHeight="1" x14ac:dyDescent="0.3">
      <c r="A10" s="66" t="s">
        <v>13</v>
      </c>
      <c r="B10" s="67">
        <f>SUM(A14:A25)</f>
        <v>365</v>
      </c>
      <c r="C10" s="68"/>
      <c r="D10" s="68"/>
      <c r="E10" s="69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-200000</v>
      </c>
      <c r="D13" s="44"/>
      <c r="E13" s="44"/>
      <c r="F13" s="44"/>
      <c r="G13" s="46">
        <f>B1*B7+C7</f>
        <v>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14000.000000000002</v>
      </c>
      <c r="D14" s="44">
        <f>$B$9*B1-E14-G14-I14</f>
        <v>1769.8630136986321</v>
      </c>
      <c r="E14" s="44">
        <f>$B$3*B1*A14</f>
        <v>12230.13698630137</v>
      </c>
      <c r="F14" s="44">
        <f>B1-D14</f>
        <v>198230.13698630137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13876.109589041098</v>
      </c>
      <c r="D15" s="44">
        <f>$B$9*F14-E15-G15-H15-I15</f>
        <v>2927.2888722086718</v>
      </c>
      <c r="E15" s="44">
        <f t="shared" ref="E15:E24" si="0">$B$3*F14*A15</f>
        <v>10948.820716832426</v>
      </c>
      <c r="F15" s="44">
        <f>F14-D15</f>
        <v>195302.84811409269</v>
      </c>
      <c r="G15" s="44">
        <f t="shared" ref="G15:G25" si="1">$B$8</f>
        <v>0</v>
      </c>
      <c r="H15" s="44">
        <f>+B6*F14</f>
        <v>0</v>
      </c>
      <c r="I15" s="44">
        <f t="shared" ref="I15:I25" si="2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3">D16+E16+G16+H16+I16</f>
        <v>13671.19936798649</v>
      </c>
      <c r="D16" s="44">
        <f>$B$9*F15-E16-G16-H16-I16</f>
        <v>1728.2964367356708</v>
      </c>
      <c r="E16" s="44">
        <f t="shared" si="0"/>
        <v>11942.902931250819</v>
      </c>
      <c r="F16" s="44">
        <f t="shared" ref="F16:F25" si="4">F15-D16</f>
        <v>193574.55167735703</v>
      </c>
      <c r="G16" s="44">
        <f t="shared" si="1"/>
        <v>0</v>
      </c>
      <c r="H16" s="44">
        <f>B6*F15</f>
        <v>0</v>
      </c>
      <c r="I16" s="44">
        <f t="shared" si="2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3"/>
        <v>13550.218617414994</v>
      </c>
      <c r="D17" s="44">
        <f>$B$9*F16-E17-G17-H17-I17</f>
        <v>2094.8478880152343</v>
      </c>
      <c r="E17" s="44">
        <f t="shared" si="0"/>
        <v>11455.37072939976</v>
      </c>
      <c r="F17" s="44">
        <f t="shared" si="4"/>
        <v>191479.70378934179</v>
      </c>
      <c r="G17" s="44">
        <f t="shared" si="1"/>
        <v>0</v>
      </c>
      <c r="H17" s="44">
        <f>+B6*F16</f>
        <v>0</v>
      </c>
      <c r="I17" s="44">
        <f t="shared" si="2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3"/>
        <v>13403.579265253926</v>
      </c>
      <c r="D18" s="44">
        <f>$B$9*F17-E18-G18-H18-I18</f>
        <v>1694.46422805363</v>
      </c>
      <c r="E18" s="44">
        <f t="shared" si="0"/>
        <v>11709.115037200296</v>
      </c>
      <c r="F18" s="44">
        <f t="shared" si="4"/>
        <v>189785.23956128815</v>
      </c>
      <c r="G18" s="44">
        <f t="shared" si="1"/>
        <v>0</v>
      </c>
      <c r="H18" s="44">
        <f>+B6*F17</f>
        <v>0</v>
      </c>
      <c r="I18" s="44">
        <f t="shared" si="2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3"/>
        <v>13284.966769290171</v>
      </c>
      <c r="D19" s="44">
        <f>$B$9*F18-E19-G19-H19-I19</f>
        <v>2053.8402637454492</v>
      </c>
      <c r="E19" s="44">
        <f t="shared" si="0"/>
        <v>11231.126505544722</v>
      </c>
      <c r="F19" s="44">
        <f t="shared" si="4"/>
        <v>187731.3992975427</v>
      </c>
      <c r="G19" s="44">
        <f t="shared" si="1"/>
        <v>0</v>
      </c>
      <c r="H19" s="44">
        <f>+B6*F18</f>
        <v>0</v>
      </c>
      <c r="I19" s="44">
        <f t="shared" si="2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3"/>
        <v>13141.197950827989</v>
      </c>
      <c r="D20" s="44">
        <f>$B$9*F19-E20-G20-H20-I20</f>
        <v>1661.2943006330515</v>
      </c>
      <c r="E20" s="44">
        <f t="shared" si="0"/>
        <v>11479.903650194938</v>
      </c>
      <c r="F20" s="44">
        <f t="shared" si="4"/>
        <v>186070.10499690965</v>
      </c>
      <c r="G20" s="44">
        <f t="shared" si="1"/>
        <v>0</v>
      </c>
      <c r="H20" s="44">
        <f>B6*F19</f>
        <v>0</v>
      </c>
      <c r="I20" s="44">
        <f t="shared" si="2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3"/>
        <v>13024.907349783676</v>
      </c>
      <c r="D21" s="44">
        <f>$B$9*F20-E21-G21-H21-I21</f>
        <v>1646.5929839452547</v>
      </c>
      <c r="E21" s="44">
        <f t="shared" si="0"/>
        <v>11378.314365838422</v>
      </c>
      <c r="F21" s="44">
        <f t="shared" si="4"/>
        <v>184423.51201296441</v>
      </c>
      <c r="G21" s="44">
        <f t="shared" si="1"/>
        <v>0</v>
      </c>
      <c r="H21" s="44">
        <f>+B6*F20</f>
        <v>0</v>
      </c>
      <c r="I21" s="44">
        <f t="shared" si="2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3"/>
        <v>12909.645840907509</v>
      </c>
      <c r="D22" s="44">
        <f>$B$9*F21-E22-G22-H22-I22</f>
        <v>1995.8160889074243</v>
      </c>
      <c r="E22" s="44">
        <f t="shared" si="0"/>
        <v>10913.829752000085</v>
      </c>
      <c r="F22" s="44">
        <f t="shared" si="4"/>
        <v>182427.69592405698</v>
      </c>
      <c r="G22" s="44">
        <f t="shared" si="1"/>
        <v>0</v>
      </c>
      <c r="H22" s="44">
        <f>+B6*F21</f>
        <v>0</v>
      </c>
      <c r="I22" s="44">
        <f t="shared" si="2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3"/>
        <v>12769.938714683991</v>
      </c>
      <c r="D23" s="44">
        <f>$B$9*F22-E23-G23-H23-I23</f>
        <v>1614.3601584512471</v>
      </c>
      <c r="E23" s="44">
        <f t="shared" si="0"/>
        <v>11155.578556232744</v>
      </c>
      <c r="F23" s="44">
        <f t="shared" si="4"/>
        <v>180813.33576560573</v>
      </c>
      <c r="G23" s="44">
        <f t="shared" si="1"/>
        <v>0</v>
      </c>
      <c r="H23" s="44">
        <f>+B6*F22</f>
        <v>0</v>
      </c>
      <c r="I23" s="44">
        <f t="shared" si="2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3"/>
        <v>12656.933503592403</v>
      </c>
      <c r="D24" s="44">
        <f>$B$9*F23-E24-G24-H24-I24</f>
        <v>1956.7470582853239</v>
      </c>
      <c r="E24" s="44">
        <f t="shared" si="0"/>
        <v>10700.186445307079</v>
      </c>
      <c r="F24" s="44">
        <f t="shared" si="4"/>
        <v>178856.58870732042</v>
      </c>
      <c r="G24" s="44">
        <f t="shared" si="1"/>
        <v>0</v>
      </c>
      <c r="H24" s="44">
        <f>B6*F23</f>
        <v>0</v>
      </c>
      <c r="I24" s="44">
        <f t="shared" si="2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189440.97861438376</v>
      </c>
      <c r="D25" s="44">
        <f>$B$9*F24-E25-G25-H25-I25</f>
        <v>1935.5713024490851</v>
      </c>
      <c r="E25" s="44">
        <f>$B$3*F24*A24</f>
        <v>10584.389907063345</v>
      </c>
      <c r="F25" s="44">
        <f t="shared" si="4"/>
        <v>176921.01740487132</v>
      </c>
      <c r="G25" s="44">
        <f t="shared" si="1"/>
        <v>0</v>
      </c>
      <c r="H25" s="44">
        <f>B6*F24</f>
        <v>0</v>
      </c>
      <c r="I25" s="44">
        <f t="shared" si="2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335729.67558316607</v>
      </c>
      <c r="D26" s="45">
        <f>SUM(D14:D25)</f>
        <v>23078.982595128677</v>
      </c>
      <c r="E26" s="45">
        <f>SUM(E14:E25)</f>
        <v>135729.67558316598</v>
      </c>
      <c r="F26" s="45" t="s">
        <v>16</v>
      </c>
      <c r="G26" s="45">
        <f>SUM(G13:G25)</f>
        <v>0</v>
      </c>
      <c r="H26" s="45">
        <f>SUM(H14:H25)</f>
        <v>0</v>
      </c>
      <c r="I26" s="45">
        <f>SUM(I14:I25)</f>
        <v>0</v>
      </c>
      <c r="J26" s="43">
        <f>XIRR(C13:C25,B13:B25)</f>
        <v>1.0097286343574525</v>
      </c>
      <c r="K26" s="30">
        <f>C26+G13</f>
        <v>335729.67558316607</v>
      </c>
      <c r="L26" s="30">
        <f>E26+G26+H26+I26</f>
        <v>135729.67558316598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5" t="s">
        <v>20</v>
      </c>
      <c r="B30" s="55"/>
      <c r="C30" s="55"/>
      <c r="D30" s="55"/>
      <c r="E30" s="55"/>
      <c r="F30" s="55"/>
      <c r="G30" s="55"/>
      <c r="H30" s="55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6" t="s">
        <v>22</v>
      </c>
      <c r="B32" s="56"/>
      <c r="C32" s="56"/>
      <c r="D32" s="56"/>
      <c r="E32" s="56"/>
      <c r="F32" s="56"/>
      <c r="G32" s="56"/>
      <c r="H32" s="56"/>
      <c r="I32" s="3">
        <f>B2</f>
        <v>0.72</v>
      </c>
      <c r="J32" s="12"/>
      <c r="K32" s="9"/>
    </row>
    <row r="33" spans="1:11" s="9" customFormat="1" ht="10.199999999999999" customHeight="1" x14ac:dyDescent="0.3">
      <c r="A33" s="13"/>
      <c r="B33" s="13"/>
      <c r="C33" s="13"/>
      <c r="D33" s="13"/>
      <c r="E33" s="13"/>
      <c r="F33" s="13"/>
      <c r="G33" s="13"/>
      <c r="H33" s="13"/>
      <c r="I33" s="11"/>
      <c r="J33" s="12"/>
    </row>
    <row r="34" spans="1:11" s="1" customFormat="1" ht="17.399999999999999" x14ac:dyDescent="0.3">
      <c r="A34" s="56" t="s">
        <v>23</v>
      </c>
      <c r="B34" s="56"/>
      <c r="C34" s="56"/>
      <c r="D34" s="56"/>
      <c r="E34" s="56"/>
      <c r="F34" s="56"/>
      <c r="G34" s="56"/>
      <c r="H34" s="56"/>
      <c r="I34" s="47">
        <f>C14</f>
        <v>14000.000000000002</v>
      </c>
      <c r="J34" s="12" t="s">
        <v>21</v>
      </c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48"/>
      <c r="J35" s="12"/>
    </row>
    <row r="36" spans="1:11" s="1" customFormat="1" ht="17.399999999999999" x14ac:dyDescent="0.3">
      <c r="A36" s="56" t="s">
        <v>29</v>
      </c>
      <c r="B36" s="56"/>
      <c r="C36" s="56"/>
      <c r="D36" s="56"/>
      <c r="E36" s="56"/>
      <c r="F36" s="56"/>
      <c r="G36" s="56"/>
      <c r="H36" s="56"/>
      <c r="I36" s="47">
        <f>L26</f>
        <v>135729.67558316598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56" t="s">
        <v>30</v>
      </c>
      <c r="B38" s="56"/>
      <c r="C38" s="56"/>
      <c r="D38" s="56"/>
      <c r="E38" s="56"/>
      <c r="F38" s="56"/>
      <c r="G38" s="56"/>
      <c r="H38" s="56"/>
      <c r="I38" s="47">
        <f>K26</f>
        <v>335729.67558316607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11"/>
      <c r="J39" s="12"/>
    </row>
    <row r="40" spans="1:11" s="1" customFormat="1" ht="17.399999999999999" x14ac:dyDescent="0.3">
      <c r="A40" s="56" t="s">
        <v>31</v>
      </c>
      <c r="B40" s="56"/>
      <c r="C40" s="56"/>
      <c r="D40" s="56"/>
      <c r="E40" s="56"/>
      <c r="F40" s="56"/>
      <c r="G40" s="56"/>
      <c r="H40" s="56"/>
      <c r="I40" s="4">
        <f>J26</f>
        <v>1.0097286343574525</v>
      </c>
      <c r="J40" s="12"/>
      <c r="K40" s="9"/>
    </row>
    <row r="41" spans="1:11" s="1" customFormat="1" ht="21" customHeight="1" x14ac:dyDescent="0.35">
      <c r="A41" s="5"/>
      <c r="B41" s="5"/>
      <c r="C41" s="5"/>
      <c r="D41" s="5"/>
      <c r="E41" s="6"/>
      <c r="F41" s="7"/>
      <c r="G41" s="8"/>
      <c r="H41" s="5"/>
      <c r="I41" s="5"/>
      <c r="J41" s="9"/>
    </row>
    <row r="42" spans="1:11" s="1" customFormat="1" ht="100.95" customHeight="1" x14ac:dyDescent="0.2">
      <c r="A42" s="58" t="s">
        <v>28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1" s="1" customFormat="1" ht="40.200000000000003" customHeight="1" x14ac:dyDescent="0.2">
      <c r="A43" s="57" t="s">
        <v>24</v>
      </c>
      <c r="B43" s="57"/>
      <c r="C43" s="57"/>
      <c r="D43" s="57"/>
      <c r="E43" s="57"/>
      <c r="F43" s="57"/>
      <c r="G43" s="57"/>
      <c r="H43" s="57"/>
      <c r="I43" s="57"/>
      <c r="J43" s="57"/>
    </row>
    <row r="44" spans="1:11" s="51" customFormat="1" hidden="1" x14ac:dyDescent="0.3">
      <c r="C44" s="52"/>
    </row>
    <row r="45" spans="1:11" s="51" customFormat="1" hidden="1" x14ac:dyDescent="0.3">
      <c r="C45" s="52"/>
    </row>
    <row r="46" spans="1:11" hidden="1" x14ac:dyDescent="0.3"/>
  </sheetData>
  <sheetProtection password="CC99" sheet="1" objects="1" scenarios="1" selectLockedCells="1"/>
  <mergeCells count="9">
    <mergeCell ref="A30:H30"/>
    <mergeCell ref="A32:H32"/>
    <mergeCell ref="A43:J43"/>
    <mergeCell ref="A42:J42"/>
    <mergeCell ref="A34:H34"/>
    <mergeCell ref="A36:H36"/>
    <mergeCell ref="A38:H38"/>
    <mergeCell ref="A40:H40"/>
    <mergeCell ref="E1:E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opLeftCell="A29" workbookViewId="0">
      <selection activeCell="H29" sqref="H29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27.33203125" style="17" customWidth="1"/>
    <col min="9" max="9" width="13.109375" style="17" bestFit="1" customWidth="1"/>
    <col min="10" max="10" width="12.886718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59" t="s">
        <v>12</v>
      </c>
      <c r="F1" s="53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0.72</v>
      </c>
      <c r="C2" s="37"/>
      <c r="D2" s="37"/>
      <c r="E2" s="60"/>
      <c r="F2" s="54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9">
        <f>B2/B10</f>
        <v>1.9726027397260273E-3</v>
      </c>
      <c r="C3" s="37"/>
      <c r="D3" s="37"/>
      <c r="E3" s="60"/>
      <c r="F3" s="54"/>
      <c r="G3" s="18"/>
      <c r="H3" s="18"/>
      <c r="I3" s="18"/>
      <c r="J3" s="18"/>
      <c r="K3" s="19"/>
    </row>
    <row r="4" spans="1:12" ht="15" hidden="1" customHeight="1" x14ac:dyDescent="0.3">
      <c r="A4" s="35" t="s">
        <v>35</v>
      </c>
      <c r="B4" s="36">
        <v>0.08</v>
      </c>
      <c r="C4" s="37"/>
      <c r="D4" s="37"/>
      <c r="E4" s="60"/>
      <c r="F4" s="54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60"/>
      <c r="F5" s="54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0"/>
      <c r="F6" s="54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</v>
      </c>
      <c r="C7" s="38">
        <v>0</v>
      </c>
      <c r="D7" s="39" t="s">
        <v>26</v>
      </c>
      <c r="E7" s="60"/>
      <c r="F7" s="54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0"/>
      <c r="F8" s="54"/>
      <c r="G8" s="18"/>
      <c r="H8" s="18"/>
      <c r="I8" s="18"/>
      <c r="J8" s="18"/>
    </row>
    <row r="9" spans="1:12" ht="15" hidden="1" customHeight="1" x14ac:dyDescent="0.3">
      <c r="A9" s="62" t="s">
        <v>33</v>
      </c>
      <c r="B9" s="63">
        <f>B4+B8/B1</f>
        <v>0.08</v>
      </c>
      <c r="C9" s="64"/>
      <c r="D9" s="64"/>
      <c r="E9" s="64"/>
      <c r="F9" s="65"/>
      <c r="G9" s="18"/>
      <c r="H9" s="18"/>
      <c r="I9" s="18"/>
      <c r="J9" s="18"/>
    </row>
    <row r="10" spans="1:12" s="21" customFormat="1" ht="14.4" hidden="1" customHeight="1" x14ac:dyDescent="0.3">
      <c r="A10" s="66" t="s">
        <v>13</v>
      </c>
      <c r="B10" s="67">
        <f>SUM(A14:A25)</f>
        <v>365</v>
      </c>
      <c r="C10" s="68"/>
      <c r="D10" s="68"/>
      <c r="E10" s="68"/>
      <c r="F10" s="69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-200000</v>
      </c>
      <c r="D13" s="44"/>
      <c r="E13" s="44"/>
      <c r="F13" s="44"/>
      <c r="G13" s="46">
        <f>B1*B7+C7</f>
        <v>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16000</v>
      </c>
      <c r="D14" s="44">
        <f>$B$9*B1-E14-G14-I14</f>
        <v>1769.8630136986303</v>
      </c>
      <c r="E14" s="44">
        <f>$B$3*B1*A14</f>
        <v>12230.13698630137</v>
      </c>
      <c r="F14" s="44">
        <f>B1-D14</f>
        <v>198230.13698630137</v>
      </c>
      <c r="G14" s="44">
        <f>B8</f>
        <v>0</v>
      </c>
      <c r="H14" s="44">
        <f>(-1)*B6*C13</f>
        <v>0</v>
      </c>
      <c r="I14" s="44">
        <f>B1*B5</f>
        <v>2000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15858.410958904107</v>
      </c>
      <c r="D15" s="44">
        <f>$B$9*F14-E15-G15-H15-I15</f>
        <v>2927.2888722086691</v>
      </c>
      <c r="E15" s="44">
        <f t="shared" ref="E15:E24" si="0">$B$3*F14*A15</f>
        <v>10948.820716832426</v>
      </c>
      <c r="F15" s="44">
        <f>F14-D15</f>
        <v>195302.84811409269</v>
      </c>
      <c r="G15" s="44">
        <f t="shared" ref="G15:G25" si="1">$B$8</f>
        <v>0</v>
      </c>
      <c r="H15" s="44">
        <f>+B6*F14</f>
        <v>0</v>
      </c>
      <c r="I15" s="44">
        <f t="shared" ref="I15:I25" si="2">F14*$B$5</f>
        <v>1982.3013698630136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3">D16+E16+G16+H16+I16</f>
        <v>15624.227849127416</v>
      </c>
      <c r="D16" s="44">
        <f>$B$9*F15-E16-G16-H16-I16</f>
        <v>1728.2964367356694</v>
      </c>
      <c r="E16" s="44">
        <f t="shared" si="0"/>
        <v>11942.902931250819</v>
      </c>
      <c r="F16" s="44">
        <f t="shared" ref="F16:F25" si="4">F15-D16</f>
        <v>193574.55167735703</v>
      </c>
      <c r="G16" s="44">
        <f t="shared" si="1"/>
        <v>0</v>
      </c>
      <c r="H16" s="44">
        <f>B6*F15</f>
        <v>0</v>
      </c>
      <c r="I16" s="44">
        <f t="shared" si="2"/>
        <v>1953.0284811409269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3"/>
        <v>15485.964134188562</v>
      </c>
      <c r="D17" s="44">
        <f>$B$9*F16-E17-G17-H17-I17</f>
        <v>2094.847888015232</v>
      </c>
      <c r="E17" s="44">
        <f t="shared" si="0"/>
        <v>11455.37072939976</v>
      </c>
      <c r="F17" s="44">
        <f t="shared" si="4"/>
        <v>191479.70378934179</v>
      </c>
      <c r="G17" s="44">
        <f t="shared" si="1"/>
        <v>0</v>
      </c>
      <c r="H17" s="44">
        <f>+B6*F16</f>
        <v>0</v>
      </c>
      <c r="I17" s="44">
        <f t="shared" si="2"/>
        <v>1935.7455167735702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3"/>
        <v>15318.376303147343</v>
      </c>
      <c r="D18" s="44">
        <f>$B$9*F17-E18-G18-H18-I18</f>
        <v>1694.4642280536291</v>
      </c>
      <c r="E18" s="44">
        <f t="shared" si="0"/>
        <v>11709.115037200296</v>
      </c>
      <c r="F18" s="44">
        <f t="shared" si="4"/>
        <v>189785.23956128815</v>
      </c>
      <c r="G18" s="44">
        <f t="shared" si="1"/>
        <v>0</v>
      </c>
      <c r="H18" s="44">
        <f>+B6*F17</f>
        <v>0</v>
      </c>
      <c r="I18" s="44">
        <f t="shared" si="2"/>
        <v>1914.7970378934178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3"/>
        <v>15182.819164903052</v>
      </c>
      <c r="D19" s="44">
        <f>$B$9*F18-E19-G19-H19-I19</f>
        <v>2053.8402637454487</v>
      </c>
      <c r="E19" s="44">
        <f t="shared" si="0"/>
        <v>11231.126505544722</v>
      </c>
      <c r="F19" s="44">
        <f t="shared" si="4"/>
        <v>187731.3992975427</v>
      </c>
      <c r="G19" s="44">
        <f t="shared" si="1"/>
        <v>0</v>
      </c>
      <c r="H19" s="44">
        <f>+B6*F18</f>
        <v>0</v>
      </c>
      <c r="I19" s="44">
        <f t="shared" si="2"/>
        <v>1897.8523956128815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3"/>
        <v>15018.511943803416</v>
      </c>
      <c r="D20" s="44">
        <f>$B$9*F19-E20-G20-H20-I20</f>
        <v>1661.2943006330515</v>
      </c>
      <c r="E20" s="44">
        <f t="shared" si="0"/>
        <v>11479.903650194938</v>
      </c>
      <c r="F20" s="44">
        <f t="shared" si="4"/>
        <v>186070.10499690965</v>
      </c>
      <c r="G20" s="44">
        <f t="shared" si="1"/>
        <v>0</v>
      </c>
      <c r="H20" s="44">
        <f>B6*F19</f>
        <v>0</v>
      </c>
      <c r="I20" s="44">
        <f t="shared" si="2"/>
        <v>1877.313992975427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3"/>
        <v>14885.608399752773</v>
      </c>
      <c r="D21" s="44">
        <f>$B$9*F20-E21-G21-H21-I21</f>
        <v>1646.5929839452549</v>
      </c>
      <c r="E21" s="44">
        <f t="shared" si="0"/>
        <v>11378.314365838422</v>
      </c>
      <c r="F21" s="44">
        <f t="shared" si="4"/>
        <v>184423.51201296441</v>
      </c>
      <c r="G21" s="44">
        <f t="shared" si="1"/>
        <v>0</v>
      </c>
      <c r="H21" s="44">
        <f>+B6*F20</f>
        <v>0</v>
      </c>
      <c r="I21" s="44">
        <f t="shared" si="2"/>
        <v>1860.7010499690966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3"/>
        <v>14753.880961037154</v>
      </c>
      <c r="D22" s="44">
        <f>$B$9*F21-E22-G22-H22-I22</f>
        <v>1995.8160889074243</v>
      </c>
      <c r="E22" s="44">
        <f t="shared" si="0"/>
        <v>10913.829752000085</v>
      </c>
      <c r="F22" s="44">
        <f t="shared" si="4"/>
        <v>182427.69592405698</v>
      </c>
      <c r="G22" s="44">
        <f t="shared" si="1"/>
        <v>0</v>
      </c>
      <c r="H22" s="44">
        <f>+B6*F21</f>
        <v>0</v>
      </c>
      <c r="I22" s="44">
        <f t="shared" si="2"/>
        <v>1844.2351201296442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3"/>
        <v>14594.215673924558</v>
      </c>
      <c r="D23" s="44">
        <f>$B$9*F22-E23-G23-H23-I23</f>
        <v>1614.3601584512448</v>
      </c>
      <c r="E23" s="44">
        <f t="shared" si="0"/>
        <v>11155.578556232744</v>
      </c>
      <c r="F23" s="44">
        <f t="shared" si="4"/>
        <v>180813.33576560573</v>
      </c>
      <c r="G23" s="44">
        <f t="shared" si="1"/>
        <v>0</v>
      </c>
      <c r="H23" s="44">
        <f>+B6*F22</f>
        <v>0</v>
      </c>
      <c r="I23" s="44">
        <f t="shared" si="2"/>
        <v>1824.2769592405698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3"/>
        <v>14465.066861248459</v>
      </c>
      <c r="D24" s="44">
        <f>$B$9*F23-E24-G24-H24-I24</f>
        <v>1956.7470582853221</v>
      </c>
      <c r="E24" s="44">
        <f t="shared" si="0"/>
        <v>10700.186445307079</v>
      </c>
      <c r="F24" s="44">
        <f t="shared" si="4"/>
        <v>178856.58870732042</v>
      </c>
      <c r="G24" s="44">
        <f t="shared" si="1"/>
        <v>0</v>
      </c>
      <c r="H24" s="44">
        <f>B6*F23</f>
        <v>0</v>
      </c>
      <c r="I24" s="44">
        <f t="shared" si="2"/>
        <v>1808.1333576560573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191229.54450145696</v>
      </c>
      <c r="D25" s="44">
        <f>$B$9*F24-E25-G25-H25-I25</f>
        <v>1935.5713024490849</v>
      </c>
      <c r="E25" s="44">
        <f>$B$3*F24*A24</f>
        <v>10584.389907063345</v>
      </c>
      <c r="F25" s="44">
        <f t="shared" si="4"/>
        <v>176921.01740487132</v>
      </c>
      <c r="G25" s="44">
        <f t="shared" si="1"/>
        <v>0</v>
      </c>
      <c r="H25" s="44">
        <f>B6*F24</f>
        <v>0</v>
      </c>
      <c r="I25" s="44">
        <f t="shared" si="2"/>
        <v>1788.5658870732043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358416.62675149378</v>
      </c>
      <c r="D26" s="45">
        <f>SUM(D14:D25)</f>
        <v>23078.982595128655</v>
      </c>
      <c r="E26" s="45">
        <f>SUM(E14:E25)</f>
        <v>135729.67558316598</v>
      </c>
      <c r="F26" s="45" t="s">
        <v>16</v>
      </c>
      <c r="G26" s="45">
        <f>SUM(G13:G25)</f>
        <v>0</v>
      </c>
      <c r="H26" s="45">
        <f>SUM(H14:H25)</f>
        <v>0</v>
      </c>
      <c r="I26" s="45">
        <f>SUM(I14:I25)</f>
        <v>22686.951168327811</v>
      </c>
      <c r="J26" s="43">
        <f>XIRR(C13:C25,B13:B25)</f>
        <v>1.2501840710639955</v>
      </c>
      <c r="K26" s="30">
        <f>C26+G13</f>
        <v>358416.62675149378</v>
      </c>
      <c r="L26" s="30">
        <f>E26+G26+H26+I26</f>
        <v>158416.62675149378</v>
      </c>
    </row>
    <row r="27" spans="1:12" hidden="1" x14ac:dyDescent="0.3"/>
    <row r="28" spans="1:12" hidden="1" x14ac:dyDescent="0.3"/>
    <row r="29" spans="1:12" s="9" customFormat="1" ht="46.2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5" t="s">
        <v>20</v>
      </c>
      <c r="B30" s="55"/>
      <c r="C30" s="55"/>
      <c r="D30" s="55"/>
      <c r="E30" s="55"/>
      <c r="F30" s="55"/>
      <c r="G30" s="55"/>
      <c r="H30" s="55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6" t="s">
        <v>22</v>
      </c>
      <c r="B32" s="56"/>
      <c r="C32" s="56"/>
      <c r="D32" s="56"/>
      <c r="E32" s="56"/>
      <c r="F32" s="56"/>
      <c r="G32" s="56"/>
      <c r="H32" s="56"/>
      <c r="I32" s="3">
        <f>B2</f>
        <v>0.72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3">
      <c r="A34" s="56" t="s">
        <v>27</v>
      </c>
      <c r="B34" s="56"/>
      <c r="C34" s="56"/>
      <c r="D34" s="56"/>
      <c r="E34" s="56"/>
      <c r="F34" s="56"/>
      <c r="G34" s="56"/>
      <c r="H34" s="56"/>
      <c r="I34" s="61" t="s">
        <v>32</v>
      </c>
      <c r="J34" s="61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50"/>
      <c r="J35" s="12"/>
    </row>
    <row r="36" spans="1:11" s="1" customFormat="1" ht="17.399999999999999" x14ac:dyDescent="0.3">
      <c r="A36" s="56" t="s">
        <v>23</v>
      </c>
      <c r="B36" s="56"/>
      <c r="C36" s="56"/>
      <c r="D36" s="56"/>
      <c r="E36" s="56"/>
      <c r="F36" s="56"/>
      <c r="G36" s="56"/>
      <c r="H36" s="56"/>
      <c r="I36" s="47">
        <f>C14</f>
        <v>16000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56" t="s">
        <v>29</v>
      </c>
      <c r="B38" s="56"/>
      <c r="C38" s="56"/>
      <c r="D38" s="56"/>
      <c r="E38" s="56"/>
      <c r="F38" s="56"/>
      <c r="G38" s="56"/>
      <c r="H38" s="56"/>
      <c r="I38" s="47">
        <f>L26</f>
        <v>158416.62675149378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12"/>
    </row>
    <row r="40" spans="1:11" s="1" customFormat="1" ht="17.399999999999999" x14ac:dyDescent="0.3">
      <c r="A40" s="56" t="s">
        <v>30</v>
      </c>
      <c r="B40" s="56"/>
      <c r="C40" s="56"/>
      <c r="D40" s="56"/>
      <c r="E40" s="56"/>
      <c r="F40" s="56"/>
      <c r="G40" s="56"/>
      <c r="H40" s="56"/>
      <c r="I40" s="47">
        <f>K26</f>
        <v>358416.62675149378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</row>
    <row r="42" spans="1:11" s="1" customFormat="1" ht="17.399999999999999" x14ac:dyDescent="0.3">
      <c r="A42" s="56" t="s">
        <v>31</v>
      </c>
      <c r="B42" s="56"/>
      <c r="C42" s="56"/>
      <c r="D42" s="56"/>
      <c r="E42" s="56"/>
      <c r="F42" s="56"/>
      <c r="G42" s="56"/>
      <c r="H42" s="56"/>
      <c r="I42" s="4">
        <f>J26</f>
        <v>1.2501840710639955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58" t="s">
        <v>28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1" s="1" customFormat="1" ht="40.200000000000003" customHeight="1" x14ac:dyDescent="0.2">
      <c r="A45" s="57" t="s">
        <v>24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1" hidden="1" x14ac:dyDescent="0.3"/>
  </sheetData>
  <sheetProtection password="CC99" sheet="1" objects="1" scenarios="1"/>
  <mergeCells count="11">
    <mergeCell ref="E1:F8"/>
    <mergeCell ref="A40:H40"/>
    <mergeCell ref="A42:H42"/>
    <mergeCell ref="A44:J44"/>
    <mergeCell ref="A45:J45"/>
    <mergeCell ref="A30:H30"/>
    <mergeCell ref="A32:H32"/>
    <mergeCell ref="A34:H34"/>
    <mergeCell ref="A36:H36"/>
    <mergeCell ref="A38:H38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СВ White +_без страховки</vt:lpstr>
      <vt:lpstr>Картка СВ White +_із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2022-07-13T05:51:08Z</dcterms:modified>
</cp:coreProperties>
</file>